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t\Desktop\"/>
    </mc:Choice>
  </mc:AlternateContent>
  <xr:revisionPtr revIDLastSave="0" documentId="8_{4CA6FC1F-1DF5-4665-A8CD-38A7E9676283}" xr6:coauthVersionLast="47" xr6:coauthVersionMax="47" xr10:uidLastSave="{00000000-0000-0000-0000-000000000000}"/>
  <bookViews>
    <workbookView xWindow="660" yWindow="720" windowWidth="27450" windowHeight="16080" xr2:uid="{00000000-000D-0000-FFFF-FFFF00000000}"/>
  </bookViews>
  <sheets>
    <sheet name="Sammanställning" sheetId="1" r:id="rId1"/>
    <sheet name="EL" sheetId="2" r:id="rId2"/>
    <sheet name="VÄRME" sheetId="3" r:id="rId3"/>
    <sheet name="KYLA" sheetId="4" r:id="rId4"/>
    <sheet name="VATTEN" sheetId="5" r:id="rId5"/>
  </sheets>
  <definedNames>
    <definedName name="_xlnm.Print_Area" localSheetId="1">EL!$A$1:$AA$48</definedName>
    <definedName name="_xlnm.Print_Area" localSheetId="3">KYLA!$A$1:$AE$48</definedName>
    <definedName name="_xlnm.Print_Area" localSheetId="0">Sammanställning!$A$1:$AJ$71</definedName>
    <definedName name="_xlnm.Print_Area" localSheetId="4">VATTEN!$A$1:$AB$50</definedName>
    <definedName name="_xlnm.Print_Area" localSheetId="2">VÄRME!$A$1:$AR$67</definedName>
    <definedName name="_xlnm.Print_Titles" localSheetId="0">Sammanställning!$A:$A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5" l="1"/>
  <c r="D29" i="5"/>
  <c r="G29" i="5"/>
  <c r="J29" i="5"/>
  <c r="K29" i="5"/>
  <c r="M29" i="5"/>
  <c r="P29" i="5"/>
  <c r="S29" i="5"/>
  <c r="AB26" i="5"/>
  <c r="AA26" i="5"/>
  <c r="Z26" i="5"/>
  <c r="N29" i="5"/>
  <c r="AC26" i="5"/>
  <c r="H29" i="5"/>
  <c r="E29" i="5"/>
  <c r="V26" i="5"/>
  <c r="W26" i="5"/>
  <c r="X26" i="5"/>
  <c r="Y26" i="5"/>
  <c r="Q29" i="5"/>
  <c r="K26" i="5"/>
  <c r="B26" i="5" s="1"/>
  <c r="K25" i="5"/>
  <c r="R26" i="5"/>
  <c r="S26" i="5"/>
  <c r="O26" i="5"/>
  <c r="P26" i="5"/>
  <c r="I26" i="5"/>
  <c r="J26" i="5"/>
  <c r="F26" i="5"/>
  <c r="G26" i="5"/>
  <c r="T26" i="5"/>
  <c r="U26" i="5"/>
  <c r="AL24" i="3"/>
  <c r="AM24" i="3"/>
  <c r="AN24" i="3"/>
  <c r="AO24" i="3"/>
  <c r="AP24" i="3"/>
  <c r="AQ24" i="3"/>
  <c r="AR24" i="3"/>
  <c r="B86" i="3"/>
  <c r="C86" i="3"/>
  <c r="D86" i="3"/>
  <c r="F86" i="3"/>
  <c r="H86" i="3"/>
  <c r="I86" i="3"/>
  <c r="J86" i="3"/>
  <c r="L86" i="3"/>
  <c r="K86" i="3" s="1"/>
  <c r="N86" i="3"/>
  <c r="M86" i="3" s="1"/>
  <c r="P86" i="3"/>
  <c r="O86" i="3" s="1"/>
  <c r="B85" i="3"/>
  <c r="C85" i="3" s="1"/>
  <c r="D85" i="3"/>
  <c r="H85" i="3"/>
  <c r="F85" i="3" s="1"/>
  <c r="J85" i="3"/>
  <c r="I85" i="3" s="1"/>
  <c r="L85" i="3"/>
  <c r="K85" i="3" s="1"/>
  <c r="N85" i="3"/>
  <c r="M85" i="3" s="1"/>
  <c r="P85" i="3"/>
  <c r="O85" i="3" s="1"/>
  <c r="AA25" i="1"/>
  <c r="AB25" i="1"/>
  <c r="AC25" i="1"/>
  <c r="Z28" i="1"/>
  <c r="Z25" i="1"/>
  <c r="Y28" i="1"/>
  <c r="Y25" i="1"/>
  <c r="X25" i="1"/>
  <c r="W25" i="1"/>
  <c r="S28" i="1"/>
  <c r="P28" i="1"/>
  <c r="N28" i="1"/>
  <c r="K28" i="1"/>
  <c r="J28" i="1"/>
  <c r="C28" i="1"/>
  <c r="B28" i="1"/>
  <c r="E28" i="1"/>
  <c r="F28" i="1"/>
  <c r="S25" i="1"/>
  <c r="O25" i="1"/>
  <c r="N25" i="1"/>
  <c r="E25" i="1"/>
  <c r="J25" i="1"/>
  <c r="T25" i="1"/>
  <c r="Q24" i="3"/>
  <c r="L24" i="3"/>
  <c r="AJ24" i="3"/>
  <c r="AI24" i="3"/>
  <c r="AH24" i="3"/>
  <c r="AG24" i="3"/>
  <c r="Z27" i="3"/>
  <c r="AA24" i="3"/>
  <c r="AB24" i="3"/>
  <c r="AD24" i="3" s="1"/>
  <c r="AC24" i="3"/>
  <c r="U24" i="3"/>
  <c r="V24" i="3" s="1"/>
  <c r="W27" i="4"/>
  <c r="U27" i="4"/>
  <c r="T27" i="4"/>
  <c r="R27" i="4"/>
  <c r="Q27" i="4"/>
  <c r="O27" i="4"/>
  <c r="N27" i="4"/>
  <c r="L27" i="4"/>
  <c r="K27" i="4"/>
  <c r="I27" i="4"/>
  <c r="F27" i="4"/>
  <c r="D27" i="4"/>
  <c r="C27" i="4"/>
  <c r="B27" i="4"/>
  <c r="AF24" i="4"/>
  <c r="X24" i="4"/>
  <c r="C24" i="4"/>
  <c r="B24" i="4"/>
  <c r="W24" i="4"/>
  <c r="V24" i="4"/>
  <c r="S24" i="4"/>
  <c r="P24" i="4"/>
  <c r="Q24" i="4"/>
  <c r="AC24" i="4"/>
  <c r="AD24" i="4"/>
  <c r="AE24" i="4"/>
  <c r="M24" i="4"/>
  <c r="J24" i="4"/>
  <c r="D24" i="4"/>
  <c r="H24" i="4" s="1"/>
  <c r="K24" i="4"/>
  <c r="Y24" i="4"/>
  <c r="Z24" i="4"/>
  <c r="AA24" i="4"/>
  <c r="AB24" i="4"/>
  <c r="N24" i="4"/>
  <c r="T24" i="4"/>
  <c r="AF27" i="3"/>
  <c r="P27" i="3"/>
  <c r="R24" i="3"/>
  <c r="R27" i="3"/>
  <c r="T24" i="3"/>
  <c r="T27" i="3"/>
  <c r="S24" i="3"/>
  <c r="S27" i="3"/>
  <c r="K27" i="3"/>
  <c r="M24" i="3"/>
  <c r="O24" i="3" s="1"/>
  <c r="O27" i="3" s="1"/>
  <c r="M27" i="3"/>
  <c r="N24" i="3"/>
  <c r="N27" i="3"/>
  <c r="B24" i="3"/>
  <c r="C24" i="3"/>
  <c r="AA24" i="2"/>
  <c r="Y24" i="2"/>
  <c r="X24" i="2"/>
  <c r="M27" i="2"/>
  <c r="J24" i="2"/>
  <c r="K24" i="2"/>
  <c r="J22" i="2"/>
  <c r="J23" i="2"/>
  <c r="G27" i="2"/>
  <c r="T24" i="2"/>
  <c r="U24" i="2"/>
  <c r="V24" i="2"/>
  <c r="W24" i="2"/>
  <c r="Z24" i="2"/>
  <c r="Q24" i="2"/>
  <c r="R24" i="2"/>
  <c r="N24" i="2"/>
  <c r="O24" i="2"/>
  <c r="H24" i="2"/>
  <c r="I24" i="2"/>
  <c r="B24" i="2"/>
  <c r="C24" i="2"/>
  <c r="S24" i="2"/>
  <c r="D25" i="1"/>
  <c r="C25" i="1"/>
  <c r="P83" i="3"/>
  <c r="P84" i="3"/>
  <c r="P82" i="3"/>
  <c r="N78" i="3"/>
  <c r="N79" i="3"/>
  <c r="N80" i="3"/>
  <c r="N81" i="3"/>
  <c r="N82" i="3"/>
  <c r="N83" i="3"/>
  <c r="N84" i="3"/>
  <c r="N77" i="3"/>
  <c r="L71" i="3"/>
  <c r="L72" i="3"/>
  <c r="L73" i="3"/>
  <c r="L74" i="3"/>
  <c r="L75" i="3"/>
  <c r="L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70" i="3"/>
  <c r="U23" i="3"/>
  <c r="AP23" i="3" s="1"/>
  <c r="D4" i="1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12" i="5"/>
  <c r="L12" i="5"/>
  <c r="L13" i="5"/>
  <c r="L14" i="5"/>
  <c r="L15" i="5"/>
  <c r="L16" i="5"/>
  <c r="L11" i="5"/>
  <c r="AE23" i="4"/>
  <c r="AC23" i="4"/>
  <c r="AD23" i="4"/>
  <c r="Y23" i="4"/>
  <c r="Z23" i="4"/>
  <c r="AA23" i="4"/>
  <c r="AB23" i="4"/>
  <c r="D22" i="4"/>
  <c r="V23" i="4"/>
  <c r="W23" i="4"/>
  <c r="AF23" i="4" s="1"/>
  <c r="S23" i="4"/>
  <c r="T23" i="4"/>
  <c r="P23" i="4"/>
  <c r="Q23" i="4"/>
  <c r="M23" i="4"/>
  <c r="N23" i="4"/>
  <c r="J23" i="4"/>
  <c r="K23" i="4"/>
  <c r="D23" i="4"/>
  <c r="F23" i="4" s="1"/>
  <c r="B23" i="4"/>
  <c r="C23" i="4" s="1"/>
  <c r="I27" i="3"/>
  <c r="U22" i="3"/>
  <c r="L83" i="3" s="1"/>
  <c r="U21" i="3"/>
  <c r="L82" i="3" s="1"/>
  <c r="U20" i="3"/>
  <c r="L81" i="3" s="1"/>
  <c r="U19" i="3"/>
  <c r="L80" i="3" s="1"/>
  <c r="U18" i="3"/>
  <c r="L79" i="3" s="1"/>
  <c r="U17" i="3"/>
  <c r="U16" i="3"/>
  <c r="L77" i="3" s="1"/>
  <c r="U15" i="3"/>
  <c r="L76" i="3" s="1"/>
  <c r="AA23" i="3"/>
  <c r="AC23" i="3"/>
  <c r="Q23" i="3"/>
  <c r="S23" i="3"/>
  <c r="AI23" i="3"/>
  <c r="AG23" i="3"/>
  <c r="X23" i="4"/>
  <c r="L23" i="3"/>
  <c r="N23" i="3"/>
  <c r="B23" i="3"/>
  <c r="O25" i="5"/>
  <c r="P25" i="5"/>
  <c r="J25" i="5"/>
  <c r="G25" i="5"/>
  <c r="S25" i="5"/>
  <c r="R25" i="5"/>
  <c r="AA25" i="5"/>
  <c r="K24" i="5"/>
  <c r="L24" i="5" s="1"/>
  <c r="V25" i="5"/>
  <c r="W25" i="5"/>
  <c r="X25" i="5"/>
  <c r="Y25" i="5"/>
  <c r="AC25" i="5"/>
  <c r="T25" i="5"/>
  <c r="U25" i="5"/>
  <c r="K23" i="5"/>
  <c r="K22" i="5"/>
  <c r="K21" i="5"/>
  <c r="J21" i="2"/>
  <c r="J20" i="2"/>
  <c r="J19" i="2"/>
  <c r="J18" i="2"/>
  <c r="J17" i="2"/>
  <c r="J16" i="2"/>
  <c r="J15" i="2"/>
  <c r="M26" i="5" l="1"/>
  <c r="L26" i="5"/>
  <c r="D26" i="5"/>
  <c r="L22" i="5"/>
  <c r="L23" i="5"/>
  <c r="L25" i="5"/>
  <c r="B25" i="5"/>
  <c r="C26" i="5" s="1"/>
  <c r="Z25" i="5"/>
  <c r="D24" i="3"/>
  <c r="F24" i="3" s="1"/>
  <c r="X24" i="3"/>
  <c r="W24" i="3"/>
  <c r="Y24" i="3" s="1"/>
  <c r="E24" i="4"/>
  <c r="F24" i="4"/>
  <c r="D24" i="2"/>
  <c r="F24" i="2" s="1"/>
  <c r="L24" i="2"/>
  <c r="L78" i="3"/>
  <c r="L84" i="3"/>
  <c r="J24" i="1"/>
  <c r="L25" i="1" s="1"/>
  <c r="M25" i="1" s="1"/>
  <c r="D23" i="3"/>
  <c r="X23" i="3"/>
  <c r="E23" i="4"/>
  <c r="H23" i="4"/>
  <c r="V23" i="3"/>
  <c r="AR23" i="3"/>
  <c r="AQ23" i="3"/>
  <c r="U27" i="3"/>
  <c r="M25" i="5"/>
  <c r="D25" i="5" s="1"/>
  <c r="AB25" i="5"/>
  <c r="D23" i="2"/>
  <c r="K22" i="2"/>
  <c r="K23" i="2"/>
  <c r="N23" i="2"/>
  <c r="O23" i="2"/>
  <c r="R23" i="2"/>
  <c r="Q23" i="2"/>
  <c r="H23" i="2"/>
  <c r="I23" i="2"/>
  <c r="T23" i="2"/>
  <c r="U23" i="2"/>
  <c r="V23" i="2"/>
  <c r="W23" i="2"/>
  <c r="Z23" i="2"/>
  <c r="Y23" i="2"/>
  <c r="AA23" i="2"/>
  <c r="C23" i="2"/>
  <c r="B23" i="2"/>
  <c r="S23" i="2"/>
  <c r="C24" i="1"/>
  <c r="D19" i="4"/>
  <c r="D20" i="4"/>
  <c r="D21" i="4"/>
  <c r="P27" i="2"/>
  <c r="B24" i="5"/>
  <c r="B23" i="5"/>
  <c r="B21" i="5"/>
  <c r="B22" i="5"/>
  <c r="C22" i="5" s="1"/>
  <c r="T24" i="5"/>
  <c r="D11" i="1"/>
  <c r="S22" i="4"/>
  <c r="P22" i="4"/>
  <c r="Q22" i="4"/>
  <c r="AC22" i="4"/>
  <c r="AD22" i="4"/>
  <c r="AE22" i="4"/>
  <c r="T22" i="4"/>
  <c r="W22" i="4"/>
  <c r="AF22" i="4" s="1"/>
  <c r="V22" i="4"/>
  <c r="M22" i="4"/>
  <c r="N22" i="4"/>
  <c r="J22" i="4"/>
  <c r="K22" i="4"/>
  <c r="Y22" i="4"/>
  <c r="Z22" i="4"/>
  <c r="AA22" i="4"/>
  <c r="AB22" i="4"/>
  <c r="AI22" i="3"/>
  <c r="AG22" i="3"/>
  <c r="AA22" i="3"/>
  <c r="AC22" i="3"/>
  <c r="V22" i="3"/>
  <c r="Q22" i="3"/>
  <c r="L22" i="3"/>
  <c r="D22" i="3"/>
  <c r="S22" i="3"/>
  <c r="N22" i="3"/>
  <c r="X22" i="3"/>
  <c r="AP22" i="3"/>
  <c r="AQ22" i="3"/>
  <c r="AR22" i="3"/>
  <c r="O22" i="2"/>
  <c r="R22" i="2"/>
  <c r="Q22" i="2"/>
  <c r="N22" i="2"/>
  <c r="H22" i="2"/>
  <c r="X22" i="2"/>
  <c r="Y22" i="2"/>
  <c r="AA22" i="2"/>
  <c r="I22" i="2"/>
  <c r="T22" i="2"/>
  <c r="U22" i="2"/>
  <c r="V22" i="2"/>
  <c r="W22" i="2"/>
  <c r="Z22" i="2"/>
  <c r="C22" i="2"/>
  <c r="B22" i="2"/>
  <c r="B22" i="3"/>
  <c r="B22" i="4"/>
  <c r="C22" i="4" s="1"/>
  <c r="R24" i="5"/>
  <c r="S24" i="5"/>
  <c r="O24" i="5"/>
  <c r="P24" i="5"/>
  <c r="AC24" i="5"/>
  <c r="M24" i="5"/>
  <c r="Z24" i="5"/>
  <c r="AA24" i="5"/>
  <c r="AB24" i="5"/>
  <c r="J24" i="5"/>
  <c r="G24" i="5"/>
  <c r="V24" i="5"/>
  <c r="W24" i="5"/>
  <c r="X24" i="5"/>
  <c r="Y24" i="5"/>
  <c r="C23" i="1"/>
  <c r="S22" i="2"/>
  <c r="X22" i="4"/>
  <c r="U24" i="5"/>
  <c r="C25" i="5" l="1"/>
  <c r="C23" i="5"/>
  <c r="C24" i="5"/>
  <c r="H24" i="3"/>
  <c r="G24" i="3"/>
  <c r="E24" i="3"/>
  <c r="E24" i="2"/>
  <c r="H22" i="3"/>
  <c r="AO23" i="3"/>
  <c r="AL23" i="3"/>
  <c r="AM23" i="3"/>
  <c r="AN23" i="3"/>
  <c r="D84" i="3"/>
  <c r="N24" i="1"/>
  <c r="H23" i="3"/>
  <c r="J23" i="3"/>
  <c r="E23" i="3"/>
  <c r="E22" i="4"/>
  <c r="J23" i="1"/>
  <c r="D24" i="1"/>
  <c r="D83" i="3"/>
  <c r="F23" i="2"/>
  <c r="E24" i="1"/>
  <c r="G25" i="1" s="1"/>
  <c r="H25" i="1" s="1"/>
  <c r="D24" i="5"/>
  <c r="L22" i="2"/>
  <c r="D22" i="2"/>
  <c r="L23" i="2"/>
  <c r="X23" i="2"/>
  <c r="D17" i="1"/>
  <c r="D18" i="1"/>
  <c r="D23" i="1"/>
  <c r="D15" i="1"/>
  <c r="D10" i="1"/>
  <c r="D22" i="1"/>
  <c r="D14" i="1"/>
  <c r="D16" i="1"/>
  <c r="D21" i="1"/>
  <c r="D13" i="1"/>
  <c r="D20" i="1"/>
  <c r="D12" i="1"/>
  <c r="D19" i="1"/>
  <c r="AO22" i="3"/>
  <c r="N23" i="1"/>
  <c r="AN22" i="3"/>
  <c r="AM22" i="3"/>
  <c r="AL22" i="3"/>
  <c r="H22" i="4"/>
  <c r="F22" i="4"/>
  <c r="J22" i="3"/>
  <c r="D21" i="2"/>
  <c r="E22" i="1" s="1"/>
  <c r="R25" i="1" l="1"/>
  <c r="Q25" i="1"/>
  <c r="L24" i="1"/>
  <c r="M24" i="1" s="1"/>
  <c r="R24" i="1"/>
  <c r="S24" i="1"/>
  <c r="Q24" i="1"/>
  <c r="E23" i="2"/>
  <c r="F22" i="2"/>
  <c r="E23" i="1"/>
  <c r="E22" i="2"/>
  <c r="AB23" i="5"/>
  <c r="AA23" i="5"/>
  <c r="Z23" i="5"/>
  <c r="O23" i="5"/>
  <c r="P23" i="5"/>
  <c r="AC23" i="5"/>
  <c r="S23" i="5"/>
  <c r="M23" i="5"/>
  <c r="J23" i="5"/>
  <c r="G23" i="5"/>
  <c r="V23" i="5"/>
  <c r="W23" i="5"/>
  <c r="X23" i="5"/>
  <c r="Y23" i="5"/>
  <c r="Z24" i="1" l="1"/>
  <c r="G24" i="1"/>
  <c r="H24" i="1" s="1"/>
  <c r="S23" i="1"/>
  <c r="Z23" i="1" s="1"/>
  <c r="G23" i="1"/>
  <c r="H23" i="1" s="1"/>
  <c r="D23" i="5"/>
  <c r="D14" i="3"/>
  <c r="D15" i="3"/>
  <c r="D16" i="3"/>
  <c r="D17" i="3"/>
  <c r="D18" i="3"/>
  <c r="D19" i="3"/>
  <c r="D20" i="3"/>
  <c r="D21" i="3"/>
  <c r="AC23" i="1" l="1"/>
  <c r="AB23" i="1"/>
  <c r="AC24" i="1"/>
  <c r="AB24" i="1"/>
  <c r="W24" i="1"/>
  <c r="AA24" i="1"/>
  <c r="N22" i="1"/>
  <c r="E22" i="3"/>
  <c r="H15" i="3"/>
  <c r="H16" i="3"/>
  <c r="H17" i="3"/>
  <c r="H18" i="3"/>
  <c r="H19" i="3"/>
  <c r="H20" i="3"/>
  <c r="H21" i="3"/>
  <c r="D75" i="3"/>
  <c r="D76" i="3"/>
  <c r="D77" i="3"/>
  <c r="D78" i="3"/>
  <c r="D79" i="3"/>
  <c r="D80" i="3"/>
  <c r="D81" i="3"/>
  <c r="D82" i="3"/>
  <c r="AC19" i="5"/>
  <c r="AC20" i="5"/>
  <c r="AC21" i="5"/>
  <c r="AC22" i="5"/>
  <c r="AC18" i="5"/>
  <c r="U23" i="5"/>
  <c r="Y20" i="4"/>
  <c r="Z20" i="4"/>
  <c r="AA20" i="4"/>
  <c r="AB20" i="4"/>
  <c r="AC20" i="4"/>
  <c r="AD20" i="4"/>
  <c r="AE20" i="4"/>
  <c r="Y21" i="4"/>
  <c r="Z21" i="4"/>
  <c r="AA21" i="4"/>
  <c r="AB21" i="4"/>
  <c r="AC21" i="4"/>
  <c r="AD21" i="4"/>
  <c r="AE21" i="4"/>
  <c r="M21" i="4"/>
  <c r="N21" i="4"/>
  <c r="P21" i="4"/>
  <c r="Q21" i="4"/>
  <c r="S21" i="4"/>
  <c r="T21" i="4"/>
  <c r="J22" i="1"/>
  <c r="W21" i="4"/>
  <c r="AF21" i="4" s="1"/>
  <c r="J21" i="4"/>
  <c r="K21" i="4"/>
  <c r="B21" i="4"/>
  <c r="C21" i="4" s="1"/>
  <c r="X21" i="4"/>
  <c r="AP21" i="3"/>
  <c r="AQ21" i="3"/>
  <c r="AR21" i="3"/>
  <c r="AI21" i="3"/>
  <c r="AI27" i="3" s="1"/>
  <c r="AI3" i="3"/>
  <c r="AA21" i="3"/>
  <c r="AC21" i="3"/>
  <c r="V21" i="3"/>
  <c r="X21" i="3"/>
  <c r="Q21" i="3"/>
  <c r="S21" i="3"/>
  <c r="L21" i="3"/>
  <c r="N21" i="3"/>
  <c r="E21" i="3"/>
  <c r="B21" i="3"/>
  <c r="R21" i="2"/>
  <c r="R27" i="2" s="1"/>
  <c r="Y21" i="2"/>
  <c r="AA21" i="2"/>
  <c r="Z21" i="2"/>
  <c r="F21" i="2"/>
  <c r="T21" i="2"/>
  <c r="U21" i="2"/>
  <c r="V21" i="2"/>
  <c r="W21" i="2"/>
  <c r="X21" i="2"/>
  <c r="N21" i="2"/>
  <c r="O21" i="2"/>
  <c r="K21" i="2"/>
  <c r="L21" i="2"/>
  <c r="H21" i="2"/>
  <c r="I21" i="2"/>
  <c r="D20" i="2"/>
  <c r="E21" i="2" s="1"/>
  <c r="C21" i="2"/>
  <c r="B20" i="2"/>
  <c r="B21" i="2"/>
  <c r="S21" i="2"/>
  <c r="AI16" i="1"/>
  <c r="C22" i="1"/>
  <c r="S22" i="1" l="1"/>
  <c r="L23" i="1"/>
  <c r="M23" i="1" s="1"/>
  <c r="Q23" i="1"/>
  <c r="R23" i="1"/>
  <c r="H21" i="4"/>
  <c r="F21" i="4"/>
  <c r="AO21" i="3"/>
  <c r="AN21" i="3"/>
  <c r="AM21" i="3"/>
  <c r="AL21" i="3"/>
  <c r="J21" i="3"/>
  <c r="V22" i="5"/>
  <c r="W22" i="5"/>
  <c r="X22" i="5"/>
  <c r="Y22" i="5"/>
  <c r="Z22" i="5"/>
  <c r="AA22" i="5"/>
  <c r="AB22" i="5"/>
  <c r="O22" i="5"/>
  <c r="P22" i="5"/>
  <c r="M22" i="5"/>
  <c r="J22" i="5"/>
  <c r="G22" i="5"/>
  <c r="T22" i="5"/>
  <c r="U22" i="5"/>
  <c r="J20" i="4"/>
  <c r="K20" i="4"/>
  <c r="M20" i="4"/>
  <c r="N20" i="4"/>
  <c r="P20" i="4"/>
  <c r="Q20" i="4"/>
  <c r="S20" i="4"/>
  <c r="T20" i="4"/>
  <c r="B20" i="4"/>
  <c r="C20" i="4" s="1"/>
  <c r="X20" i="4"/>
  <c r="AA20" i="3"/>
  <c r="AC20" i="3"/>
  <c r="V20" i="3"/>
  <c r="X20" i="3"/>
  <c r="Q20" i="3"/>
  <c r="S20" i="3"/>
  <c r="L20" i="3"/>
  <c r="N20" i="3"/>
  <c r="E21" i="1"/>
  <c r="AM20" i="3"/>
  <c r="AP20" i="3"/>
  <c r="AQ20" i="3"/>
  <c r="AR20" i="3"/>
  <c r="B20" i="3"/>
  <c r="N20" i="2"/>
  <c r="O20" i="2"/>
  <c r="K20" i="2"/>
  <c r="H20" i="2"/>
  <c r="L20" i="2"/>
  <c r="X20" i="2"/>
  <c r="Y20" i="2"/>
  <c r="AA20" i="2"/>
  <c r="I20" i="2"/>
  <c r="T20" i="2"/>
  <c r="U20" i="2"/>
  <c r="V20" i="2"/>
  <c r="W20" i="2"/>
  <c r="Z20" i="2"/>
  <c r="F20" i="2"/>
  <c r="C20" i="2"/>
  <c r="S20" i="2"/>
  <c r="C21" i="1"/>
  <c r="Z22" i="1" l="1"/>
  <c r="W23" i="1"/>
  <c r="F20" i="4"/>
  <c r="E21" i="4"/>
  <c r="J21" i="1"/>
  <c r="L22" i="1" s="1"/>
  <c r="M22" i="1" s="1"/>
  <c r="G22" i="1"/>
  <c r="H22" i="1" s="1"/>
  <c r="D22" i="5"/>
  <c r="H20" i="4"/>
  <c r="J20" i="3"/>
  <c r="N21" i="1"/>
  <c r="E20" i="3"/>
  <c r="AL20" i="3"/>
  <c r="AN20" i="3"/>
  <c r="AO20" i="3"/>
  <c r="T19" i="2"/>
  <c r="U19" i="2"/>
  <c r="V19" i="2"/>
  <c r="W19" i="2"/>
  <c r="X19" i="2"/>
  <c r="Y19" i="2"/>
  <c r="Z19" i="2"/>
  <c r="AA19" i="2"/>
  <c r="N19" i="2"/>
  <c r="O19" i="2"/>
  <c r="K19" i="2"/>
  <c r="L19" i="2"/>
  <c r="H19" i="2"/>
  <c r="I19" i="2"/>
  <c r="D19" i="2"/>
  <c r="C19" i="2"/>
  <c r="B19" i="2"/>
  <c r="S19" i="2"/>
  <c r="AC19" i="3"/>
  <c r="AA19" i="3"/>
  <c r="V19" i="3"/>
  <c r="Q19" i="3"/>
  <c r="L19" i="3"/>
  <c r="X19" i="3"/>
  <c r="AP19" i="3"/>
  <c r="AQ19" i="3"/>
  <c r="AR19" i="3"/>
  <c r="S19" i="3"/>
  <c r="N19" i="3"/>
  <c r="B19" i="4"/>
  <c r="C19" i="4" s="1"/>
  <c r="C20" i="1"/>
  <c r="AC19" i="4"/>
  <c r="AD19" i="4"/>
  <c r="AE19" i="4"/>
  <c r="Y19" i="4"/>
  <c r="Z19" i="4"/>
  <c r="AA19" i="4"/>
  <c r="AB19" i="4"/>
  <c r="S19" i="4"/>
  <c r="T19" i="4"/>
  <c r="P19" i="4"/>
  <c r="Q19" i="4"/>
  <c r="M19" i="4"/>
  <c r="N19" i="4"/>
  <c r="J19" i="4"/>
  <c r="K19" i="4"/>
  <c r="K18" i="4"/>
  <c r="F19" i="4"/>
  <c r="X19" i="4"/>
  <c r="AB21" i="5"/>
  <c r="AA21" i="5"/>
  <c r="Z21" i="5"/>
  <c r="O21" i="5"/>
  <c r="P21" i="5"/>
  <c r="G21" i="5"/>
  <c r="V21" i="5"/>
  <c r="W21" i="5"/>
  <c r="X21" i="5"/>
  <c r="Y21" i="5"/>
  <c r="M21" i="5"/>
  <c r="J21" i="5"/>
  <c r="T21" i="5"/>
  <c r="U21" i="5"/>
  <c r="J19" i="3"/>
  <c r="AC22" i="1" l="1"/>
  <c r="AB22" i="1"/>
  <c r="AA23" i="1"/>
  <c r="S21" i="1"/>
  <c r="R22" i="1"/>
  <c r="Q22" i="1"/>
  <c r="E20" i="1"/>
  <c r="G21" i="1" s="1"/>
  <c r="H21" i="1" s="1"/>
  <c r="E20" i="2"/>
  <c r="E20" i="4"/>
  <c r="AO19" i="3"/>
  <c r="AM19" i="3"/>
  <c r="AL19" i="3"/>
  <c r="J20" i="1"/>
  <c r="N20" i="1"/>
  <c r="AN19" i="3"/>
  <c r="F19" i="2"/>
  <c r="H19" i="4"/>
  <c r="D21" i="5"/>
  <c r="W22" i="1" l="1"/>
  <c r="Z21" i="1"/>
  <c r="L21" i="1"/>
  <c r="M21" i="1" s="1"/>
  <c r="R21" i="1"/>
  <c r="Q21" i="1"/>
  <c r="S20" i="1"/>
  <c r="D11" i="3"/>
  <c r="AB21" i="1" l="1"/>
  <c r="AC21" i="1"/>
  <c r="W21" i="1"/>
  <c r="AA22" i="1"/>
  <c r="D72" i="3"/>
  <c r="Z20" i="1"/>
  <c r="AB20" i="1" l="1"/>
  <c r="AC20" i="1"/>
  <c r="AA21" i="1"/>
  <c r="Y18" i="4"/>
  <c r="Z18" i="4"/>
  <c r="AA18" i="4"/>
  <c r="AB18" i="4"/>
  <c r="AC18" i="4"/>
  <c r="AD18" i="4"/>
  <c r="AE18" i="4"/>
  <c r="AP18" i="3"/>
  <c r="AQ18" i="3"/>
  <c r="AR18" i="3"/>
  <c r="V20" i="5" l="1"/>
  <c r="W20" i="5"/>
  <c r="X20" i="5"/>
  <c r="Y20" i="5"/>
  <c r="G20" i="5"/>
  <c r="O20" i="5"/>
  <c r="P20" i="5"/>
  <c r="K20" i="5"/>
  <c r="J20" i="5"/>
  <c r="T20" i="5"/>
  <c r="U20" i="5"/>
  <c r="T18" i="4"/>
  <c r="S18" i="4"/>
  <c r="P18" i="4"/>
  <c r="Q18" i="4"/>
  <c r="M18" i="4"/>
  <c r="N18" i="4"/>
  <c r="J18" i="4"/>
  <c r="D18" i="4"/>
  <c r="X18" i="4"/>
  <c r="E19" i="3"/>
  <c r="Q18" i="3"/>
  <c r="S18" i="3"/>
  <c r="V18" i="3"/>
  <c r="X18" i="3"/>
  <c r="AA18" i="3"/>
  <c r="AC18" i="3"/>
  <c r="L18" i="3"/>
  <c r="N18" i="3"/>
  <c r="B18" i="4"/>
  <c r="C18" i="4" s="1"/>
  <c r="B18" i="3"/>
  <c r="B18" i="2"/>
  <c r="J27" i="2"/>
  <c r="T18" i="2"/>
  <c r="U18" i="2"/>
  <c r="V18" i="2"/>
  <c r="W18" i="2"/>
  <c r="X18" i="2"/>
  <c r="Y18" i="2"/>
  <c r="Z18" i="2"/>
  <c r="AA18" i="2"/>
  <c r="U17" i="2"/>
  <c r="V17" i="2"/>
  <c r="W17" i="2"/>
  <c r="X17" i="2"/>
  <c r="Y17" i="2"/>
  <c r="Z17" i="2"/>
  <c r="AA17" i="2"/>
  <c r="O18" i="2"/>
  <c r="L18" i="2"/>
  <c r="I18" i="2"/>
  <c r="H18" i="2"/>
  <c r="D18" i="2"/>
  <c r="E19" i="1" s="1"/>
  <c r="C18" i="2"/>
  <c r="K18" i="2"/>
  <c r="N18" i="2"/>
  <c r="S18" i="2"/>
  <c r="C19" i="1"/>
  <c r="L21" i="5" l="1"/>
  <c r="M20" i="5"/>
  <c r="B20" i="5"/>
  <c r="AB20" i="5"/>
  <c r="AA20" i="5"/>
  <c r="Z20" i="5"/>
  <c r="F18" i="4"/>
  <c r="E19" i="4"/>
  <c r="G20" i="1"/>
  <c r="H20" i="1" s="1"/>
  <c r="N19" i="1"/>
  <c r="F18" i="2"/>
  <c r="E19" i="2"/>
  <c r="J19" i="1"/>
  <c r="J18" i="3"/>
  <c r="AO18" i="3"/>
  <c r="AL18" i="3"/>
  <c r="AM18" i="3"/>
  <c r="AN18" i="3"/>
  <c r="D20" i="5"/>
  <c r="H18" i="4"/>
  <c r="T8" i="5"/>
  <c r="T9" i="5"/>
  <c r="T10" i="5"/>
  <c r="T11" i="5"/>
  <c r="T12" i="5"/>
  <c r="T13" i="5"/>
  <c r="T14" i="5"/>
  <c r="T15" i="5"/>
  <c r="T16" i="5"/>
  <c r="T17" i="5"/>
  <c r="T18" i="5"/>
  <c r="T19" i="5"/>
  <c r="T7" i="5"/>
  <c r="AB10" i="5"/>
  <c r="AA10" i="5"/>
  <c r="Z10" i="5"/>
  <c r="AB16" i="5"/>
  <c r="AA16" i="5"/>
  <c r="Z16" i="5"/>
  <c r="AB15" i="5"/>
  <c r="AA15" i="5"/>
  <c r="Z15" i="5"/>
  <c r="AB14" i="5"/>
  <c r="AA14" i="5"/>
  <c r="Z14" i="5"/>
  <c r="AB13" i="5"/>
  <c r="AA13" i="5"/>
  <c r="Z13" i="5"/>
  <c r="AB12" i="5"/>
  <c r="AA12" i="5"/>
  <c r="Z12" i="5"/>
  <c r="AB11" i="5"/>
  <c r="AA11" i="5"/>
  <c r="Z11" i="5"/>
  <c r="Y19" i="5"/>
  <c r="X19" i="5"/>
  <c r="W19" i="5"/>
  <c r="V19" i="5"/>
  <c r="Y18" i="5"/>
  <c r="X18" i="5"/>
  <c r="W18" i="5"/>
  <c r="V18" i="5"/>
  <c r="Y17" i="5"/>
  <c r="X17" i="5"/>
  <c r="W17" i="5"/>
  <c r="V17" i="5"/>
  <c r="Y16" i="5"/>
  <c r="X16" i="5"/>
  <c r="W16" i="5"/>
  <c r="V16" i="5"/>
  <c r="Y15" i="5"/>
  <c r="X15" i="5"/>
  <c r="W15" i="5"/>
  <c r="V15" i="5"/>
  <c r="Y14" i="5"/>
  <c r="X14" i="5"/>
  <c r="W14" i="5"/>
  <c r="V14" i="5"/>
  <c r="Y13" i="5"/>
  <c r="X13" i="5"/>
  <c r="W13" i="5"/>
  <c r="V13" i="5"/>
  <c r="Y12" i="5"/>
  <c r="X12" i="5"/>
  <c r="W12" i="5"/>
  <c r="V12" i="5"/>
  <c r="Y11" i="5"/>
  <c r="X11" i="5"/>
  <c r="W11" i="5"/>
  <c r="V11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X6" i="4"/>
  <c r="X7" i="4"/>
  <c r="X8" i="4"/>
  <c r="X9" i="4"/>
  <c r="X10" i="4"/>
  <c r="X11" i="4"/>
  <c r="X12" i="4"/>
  <c r="X13" i="4"/>
  <c r="X14" i="4"/>
  <c r="X15" i="4"/>
  <c r="X16" i="4"/>
  <c r="X17" i="4"/>
  <c r="X5" i="4"/>
  <c r="AE8" i="4"/>
  <c r="AE9" i="4"/>
  <c r="AE10" i="4"/>
  <c r="AE11" i="4"/>
  <c r="AE12" i="4"/>
  <c r="AE13" i="4"/>
  <c r="AE14" i="4"/>
  <c r="AE15" i="4"/>
  <c r="AE16" i="4"/>
  <c r="AE17" i="4"/>
  <c r="AD8" i="4"/>
  <c r="AD9" i="4"/>
  <c r="AD10" i="4"/>
  <c r="AD11" i="4"/>
  <c r="AD12" i="4"/>
  <c r="AD13" i="4"/>
  <c r="AD14" i="4"/>
  <c r="AD15" i="4"/>
  <c r="AD16" i="4"/>
  <c r="AD17" i="4"/>
  <c r="AC8" i="4"/>
  <c r="AC9" i="4"/>
  <c r="AC10" i="4"/>
  <c r="AC11" i="4"/>
  <c r="AC12" i="4"/>
  <c r="AC13" i="4"/>
  <c r="AC14" i="4"/>
  <c r="AC15" i="4"/>
  <c r="AC16" i="4"/>
  <c r="AC17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5" i="4"/>
  <c r="Z6" i="4"/>
  <c r="Z7" i="4"/>
  <c r="Z8" i="4"/>
  <c r="Z9" i="4"/>
  <c r="Z10" i="4"/>
  <c r="Z11" i="4"/>
  <c r="Z12" i="4"/>
  <c r="Z13" i="4"/>
  <c r="Z14" i="4"/>
  <c r="Z15" i="4"/>
  <c r="Z16" i="4"/>
  <c r="Z17" i="4"/>
  <c r="Z5" i="4"/>
  <c r="Y16" i="4"/>
  <c r="Y17" i="4"/>
  <c r="Y5" i="4"/>
  <c r="Y6" i="4"/>
  <c r="Y7" i="4"/>
  <c r="Y8" i="4"/>
  <c r="Y9" i="4"/>
  <c r="Y10" i="4"/>
  <c r="Y11" i="4"/>
  <c r="Y12" i="4"/>
  <c r="Y13" i="4"/>
  <c r="Y14" i="4"/>
  <c r="Y15" i="4"/>
  <c r="AR17" i="3"/>
  <c r="AQ17" i="3"/>
  <c r="AP17" i="3"/>
  <c r="AR16" i="3"/>
  <c r="AQ16" i="3"/>
  <c r="AP16" i="3"/>
  <c r="AR14" i="3"/>
  <c r="AQ14" i="3"/>
  <c r="AP14" i="3"/>
  <c r="AR13" i="3"/>
  <c r="AQ13" i="3"/>
  <c r="AP13" i="3"/>
  <c r="AR12" i="3"/>
  <c r="AQ12" i="3"/>
  <c r="AP12" i="3"/>
  <c r="AR11" i="3"/>
  <c r="AQ11" i="3"/>
  <c r="AP11" i="3"/>
  <c r="AR10" i="3"/>
  <c r="AQ10" i="3"/>
  <c r="AP10" i="3"/>
  <c r="AR9" i="3"/>
  <c r="AQ9" i="3"/>
  <c r="AP9" i="3"/>
  <c r="AR8" i="3"/>
  <c r="AQ8" i="3"/>
  <c r="AP8" i="3"/>
  <c r="AR7" i="3"/>
  <c r="AQ7" i="3"/>
  <c r="AP7" i="3"/>
  <c r="AR6" i="3"/>
  <c r="AQ6" i="3"/>
  <c r="AP6" i="3"/>
  <c r="AR5" i="3"/>
  <c r="AQ5" i="3"/>
  <c r="AP5" i="3"/>
  <c r="S6" i="2"/>
  <c r="S7" i="2"/>
  <c r="S8" i="2"/>
  <c r="S9" i="2"/>
  <c r="S10" i="2"/>
  <c r="S11" i="2"/>
  <c r="S12" i="2"/>
  <c r="S13" i="2"/>
  <c r="S14" i="2"/>
  <c r="S15" i="2"/>
  <c r="S16" i="2"/>
  <c r="S17" i="2"/>
  <c r="S5" i="2"/>
  <c r="C21" i="5" l="1"/>
  <c r="S19" i="1"/>
  <c r="L20" i="1"/>
  <c r="M20" i="1" s="1"/>
  <c r="R20" i="1"/>
  <c r="Q20" i="1"/>
  <c r="AA6" i="2"/>
  <c r="AA7" i="2"/>
  <c r="AA8" i="2"/>
  <c r="AA9" i="2"/>
  <c r="AA10" i="2"/>
  <c r="AA11" i="2"/>
  <c r="AA12" i="2"/>
  <c r="AA13" i="2"/>
  <c r="AA14" i="2"/>
  <c r="AA5" i="2"/>
  <c r="Y6" i="2"/>
  <c r="Y7" i="2"/>
  <c r="Y8" i="2"/>
  <c r="Y9" i="2"/>
  <c r="Y10" i="2"/>
  <c r="Y11" i="2"/>
  <c r="Y12" i="2"/>
  <c r="Y13" i="2"/>
  <c r="Y14" i="2"/>
  <c r="Y5" i="2"/>
  <c r="X6" i="2"/>
  <c r="X7" i="2"/>
  <c r="X8" i="2"/>
  <c r="X9" i="2"/>
  <c r="X10" i="2"/>
  <c r="X11" i="2"/>
  <c r="X12" i="2"/>
  <c r="X13" i="2"/>
  <c r="X14" i="2"/>
  <c r="X5" i="2"/>
  <c r="Z6" i="2"/>
  <c r="Z7" i="2"/>
  <c r="Z8" i="2"/>
  <c r="Z9" i="2"/>
  <c r="Z10" i="2"/>
  <c r="Z11" i="2"/>
  <c r="Z12" i="2"/>
  <c r="Z13" i="2"/>
  <c r="Z14" i="2"/>
  <c r="Z15" i="2"/>
  <c r="Z16" i="2"/>
  <c r="Z5" i="2"/>
  <c r="W6" i="2"/>
  <c r="W7" i="2"/>
  <c r="W8" i="2"/>
  <c r="W9" i="2"/>
  <c r="W10" i="2"/>
  <c r="W11" i="2"/>
  <c r="W12" i="2"/>
  <c r="W13" i="2"/>
  <c r="W14" i="2"/>
  <c r="W15" i="2"/>
  <c r="W16" i="2"/>
  <c r="W5" i="2"/>
  <c r="V6" i="2"/>
  <c r="V7" i="2"/>
  <c r="V8" i="2"/>
  <c r="V9" i="2"/>
  <c r="V10" i="2"/>
  <c r="V11" i="2"/>
  <c r="V12" i="2"/>
  <c r="V13" i="2"/>
  <c r="V14" i="2"/>
  <c r="V15" i="2"/>
  <c r="V16" i="2"/>
  <c r="V5" i="2"/>
  <c r="U6" i="2"/>
  <c r="U7" i="2"/>
  <c r="U8" i="2"/>
  <c r="U9" i="2"/>
  <c r="U10" i="2"/>
  <c r="U11" i="2"/>
  <c r="U12" i="2"/>
  <c r="U13" i="2"/>
  <c r="U14" i="2"/>
  <c r="U15" i="2"/>
  <c r="U16" i="2"/>
  <c r="U5" i="2"/>
  <c r="T6" i="2"/>
  <c r="T7" i="2"/>
  <c r="T8" i="2"/>
  <c r="T9" i="2"/>
  <c r="T10" i="2"/>
  <c r="T11" i="2"/>
  <c r="T12" i="2"/>
  <c r="T13" i="2"/>
  <c r="T14" i="2"/>
  <c r="T15" i="2"/>
  <c r="T16" i="2"/>
  <c r="T17" i="2"/>
  <c r="T5" i="2"/>
  <c r="Z19" i="1" l="1"/>
  <c r="AD19" i="1"/>
  <c r="W20" i="1"/>
  <c r="K19" i="5"/>
  <c r="O19" i="5"/>
  <c r="P19" i="5"/>
  <c r="J19" i="5"/>
  <c r="G19" i="5"/>
  <c r="T17" i="4"/>
  <c r="S17" i="4"/>
  <c r="P17" i="4"/>
  <c r="M17" i="4"/>
  <c r="J17" i="4"/>
  <c r="Q17" i="4"/>
  <c r="N17" i="4"/>
  <c r="K17" i="4"/>
  <c r="D17" i="4"/>
  <c r="E18" i="4" s="1"/>
  <c r="B17" i="4"/>
  <c r="C17" i="4" s="1"/>
  <c r="AA17" i="3"/>
  <c r="AC17" i="3"/>
  <c r="L17" i="3"/>
  <c r="N17" i="3"/>
  <c r="V17" i="3"/>
  <c r="X17" i="3"/>
  <c r="Q17" i="3"/>
  <c r="S17" i="3"/>
  <c r="L20" i="5" l="1"/>
  <c r="AB19" i="1"/>
  <c r="AC19" i="1"/>
  <c r="B19" i="5"/>
  <c r="AA20" i="1"/>
  <c r="J18" i="1"/>
  <c r="J17" i="3"/>
  <c r="E18" i="3"/>
  <c r="N18" i="1"/>
  <c r="Q19" i="1" s="1"/>
  <c r="AB19" i="5"/>
  <c r="AA19" i="5"/>
  <c r="Z19" i="5"/>
  <c r="H17" i="4"/>
  <c r="F17" i="4"/>
  <c r="AM17" i="3"/>
  <c r="AL17" i="3"/>
  <c r="AO17" i="3"/>
  <c r="AN17" i="3"/>
  <c r="M19" i="5"/>
  <c r="D19" i="5" s="1"/>
  <c r="C18" i="1"/>
  <c r="C17" i="1"/>
  <c r="B17" i="2"/>
  <c r="N17" i="2"/>
  <c r="O17" i="2"/>
  <c r="H17" i="2"/>
  <c r="I17" i="2"/>
  <c r="C17" i="2"/>
  <c r="C20" i="5" l="1"/>
  <c r="L19" i="1"/>
  <c r="M19" i="1" s="1"/>
  <c r="R19" i="1"/>
  <c r="D17" i="2"/>
  <c r="L17" i="2"/>
  <c r="P18" i="5"/>
  <c r="J18" i="5"/>
  <c r="K18" i="5"/>
  <c r="G18" i="5"/>
  <c r="L19" i="5" l="1"/>
  <c r="B18" i="5"/>
  <c r="F17" i="2"/>
  <c r="E18" i="1"/>
  <c r="S18" i="1" s="1"/>
  <c r="E18" i="2"/>
  <c r="AA18" i="5"/>
  <c r="AB18" i="5"/>
  <c r="Z18" i="5"/>
  <c r="M18" i="5"/>
  <c r="D18" i="5" s="1"/>
  <c r="AC16" i="3"/>
  <c r="L16" i="3"/>
  <c r="N16" i="3"/>
  <c r="X16" i="3"/>
  <c r="Q16" i="3"/>
  <c r="S16" i="3"/>
  <c r="T16" i="4"/>
  <c r="T15" i="4"/>
  <c r="P16" i="4"/>
  <c r="M16" i="4"/>
  <c r="N16" i="4"/>
  <c r="Q16" i="4"/>
  <c r="D16" i="4"/>
  <c r="E17" i="4" s="1"/>
  <c r="J16" i="4"/>
  <c r="K16" i="4"/>
  <c r="B16" i="4"/>
  <c r="B16" i="3"/>
  <c r="O16" i="2"/>
  <c r="H16" i="2"/>
  <c r="I16" i="2"/>
  <c r="N16" i="2"/>
  <c r="B16" i="2"/>
  <c r="B27" i="2" s="1"/>
  <c r="O15" i="2"/>
  <c r="C16" i="1"/>
  <c r="C19" i="5" l="1"/>
  <c r="B27" i="3"/>
  <c r="C16" i="3" s="1"/>
  <c r="F16" i="3" s="1"/>
  <c r="AD18" i="1"/>
  <c r="G19" i="1"/>
  <c r="H19" i="1" s="1"/>
  <c r="O27" i="2"/>
  <c r="F16" i="4"/>
  <c r="H16" i="4"/>
  <c r="J17" i="1"/>
  <c r="Z18" i="1"/>
  <c r="W19" i="1"/>
  <c r="AA15" i="2"/>
  <c r="X15" i="2"/>
  <c r="Y15" i="2"/>
  <c r="C16" i="4"/>
  <c r="K17" i="2"/>
  <c r="Y16" i="2"/>
  <c r="AA16" i="2"/>
  <c r="X16" i="2"/>
  <c r="J16" i="3"/>
  <c r="AO16" i="3"/>
  <c r="AN16" i="3"/>
  <c r="AM16" i="3"/>
  <c r="AL16" i="3"/>
  <c r="E17" i="3"/>
  <c r="N17" i="1"/>
  <c r="R18" i="1" s="1"/>
  <c r="D16" i="2"/>
  <c r="K16" i="2"/>
  <c r="L16" i="2"/>
  <c r="C16" i="2"/>
  <c r="AC15" i="3"/>
  <c r="AC27" i="3" s="1"/>
  <c r="B84" i="3" l="1"/>
  <c r="C19" i="3"/>
  <c r="C10" i="3"/>
  <c r="C11" i="3"/>
  <c r="F11" i="3" s="1"/>
  <c r="C12" i="3"/>
  <c r="C9" i="3"/>
  <c r="C13" i="3"/>
  <c r="C14" i="3"/>
  <c r="F14" i="3" s="1"/>
  <c r="C15" i="3"/>
  <c r="F15" i="3" s="1"/>
  <c r="C17" i="3"/>
  <c r="C23" i="3"/>
  <c r="C22" i="3"/>
  <c r="C21" i="3"/>
  <c r="C20" i="3"/>
  <c r="C18" i="3"/>
  <c r="M16" i="3"/>
  <c r="AB16" i="3"/>
  <c r="R16" i="3"/>
  <c r="W16" i="3"/>
  <c r="AC18" i="1"/>
  <c r="AB18" i="1"/>
  <c r="AA19" i="1"/>
  <c r="B77" i="3"/>
  <c r="B83" i="3"/>
  <c r="B71" i="3"/>
  <c r="B72" i="3"/>
  <c r="B80" i="3"/>
  <c r="B73" i="3"/>
  <c r="B74" i="3"/>
  <c r="B75" i="3"/>
  <c r="B76" i="3"/>
  <c r="B78" i="3"/>
  <c r="B70" i="3"/>
  <c r="B82" i="3"/>
  <c r="B81" i="3"/>
  <c r="B79" i="3"/>
  <c r="L18" i="1"/>
  <c r="M18" i="1" s="1"/>
  <c r="Q18" i="1"/>
  <c r="E17" i="2"/>
  <c r="E17" i="1"/>
  <c r="F16" i="2"/>
  <c r="AA40" i="1"/>
  <c r="AA39" i="1"/>
  <c r="AA38" i="1"/>
  <c r="V7" i="3"/>
  <c r="V8" i="3"/>
  <c r="V9" i="3"/>
  <c r="V10" i="3"/>
  <c r="V11" i="3"/>
  <c r="V12" i="3"/>
  <c r="V13" i="3"/>
  <c r="V14" i="3"/>
  <c r="V6" i="3"/>
  <c r="Q7" i="3"/>
  <c r="Q8" i="3"/>
  <c r="Q9" i="3"/>
  <c r="Q10" i="3"/>
  <c r="Q11" i="3"/>
  <c r="Q12" i="3"/>
  <c r="Q13" i="3"/>
  <c r="Q14" i="3"/>
  <c r="Q15" i="3"/>
  <c r="Q6" i="3"/>
  <c r="L7" i="3"/>
  <c r="L8" i="3"/>
  <c r="L9" i="3"/>
  <c r="L10" i="3"/>
  <c r="L11" i="3"/>
  <c r="L12" i="3"/>
  <c r="L13" i="3"/>
  <c r="L14" i="3"/>
  <c r="L15" i="3"/>
  <c r="L6" i="3"/>
  <c r="F22" i="3" l="1"/>
  <c r="O23" i="1" s="1"/>
  <c r="T23" i="1" s="1"/>
  <c r="AB22" i="3"/>
  <c r="AD22" i="3" s="1"/>
  <c r="R22" i="3"/>
  <c r="T22" i="3" s="1"/>
  <c r="AH22" i="3"/>
  <c r="W22" i="3"/>
  <c r="Y22" i="3" s="1"/>
  <c r="M22" i="3"/>
  <c r="O22" i="3" s="1"/>
  <c r="F23" i="3"/>
  <c r="O24" i="1" s="1"/>
  <c r="T24" i="1" s="1"/>
  <c r="R23" i="3"/>
  <c r="T23" i="3" s="1"/>
  <c r="AH23" i="3"/>
  <c r="AJ23" i="3" s="1"/>
  <c r="W23" i="3"/>
  <c r="Y23" i="3" s="1"/>
  <c r="M23" i="3"/>
  <c r="O23" i="3" s="1"/>
  <c r="AB23" i="3"/>
  <c r="AD23" i="3" s="1"/>
  <c r="F17" i="3"/>
  <c r="O18" i="1" s="1"/>
  <c r="T18" i="1" s="1"/>
  <c r="M17" i="3"/>
  <c r="O17" i="3" s="1"/>
  <c r="AB17" i="3"/>
  <c r="R17" i="3"/>
  <c r="T17" i="3" s="1"/>
  <c r="W17" i="3"/>
  <c r="Y17" i="3" s="1"/>
  <c r="F18" i="3"/>
  <c r="O19" i="1" s="1"/>
  <c r="T19" i="1" s="1"/>
  <c r="R18" i="3"/>
  <c r="T18" i="3" s="1"/>
  <c r="M18" i="3"/>
  <c r="O18" i="3" s="1"/>
  <c r="AB18" i="3"/>
  <c r="AD18" i="3" s="1"/>
  <c r="W18" i="3"/>
  <c r="Y18" i="3" s="1"/>
  <c r="F20" i="3"/>
  <c r="O21" i="1" s="1"/>
  <c r="T21" i="1" s="1"/>
  <c r="R20" i="3"/>
  <c r="T20" i="3" s="1"/>
  <c r="M20" i="3"/>
  <c r="O20" i="3" s="1"/>
  <c r="AB20" i="3"/>
  <c r="W20" i="3"/>
  <c r="Y20" i="3" s="1"/>
  <c r="F19" i="3"/>
  <c r="O20" i="1" s="1"/>
  <c r="T20" i="1" s="1"/>
  <c r="AB19" i="3"/>
  <c r="W19" i="3"/>
  <c r="Y19" i="3" s="1"/>
  <c r="M19" i="3"/>
  <c r="O19" i="3" s="1"/>
  <c r="R19" i="3"/>
  <c r="T19" i="3" s="1"/>
  <c r="C27" i="3"/>
  <c r="AH21" i="3"/>
  <c r="F21" i="3"/>
  <c r="O22" i="1" s="1"/>
  <c r="T22" i="1" s="1"/>
  <c r="AB21" i="3"/>
  <c r="AD21" i="3" s="1"/>
  <c r="W21" i="3"/>
  <c r="Y21" i="3" s="1"/>
  <c r="R21" i="3"/>
  <c r="T21" i="3" s="1"/>
  <c r="M21" i="3"/>
  <c r="O21" i="3" s="1"/>
  <c r="O84" i="3"/>
  <c r="F84" i="3"/>
  <c r="I84" i="3"/>
  <c r="K84" i="3"/>
  <c r="M84" i="3"/>
  <c r="C84" i="3"/>
  <c r="R13" i="3"/>
  <c r="M13" i="3"/>
  <c r="W13" i="3"/>
  <c r="R11" i="3"/>
  <c r="W11" i="3"/>
  <c r="M11" i="3"/>
  <c r="O12" i="1"/>
  <c r="O17" i="1"/>
  <c r="T17" i="1" s="1"/>
  <c r="R12" i="3"/>
  <c r="W12" i="3"/>
  <c r="M12" i="3"/>
  <c r="W10" i="3"/>
  <c r="R10" i="3"/>
  <c r="M10" i="3"/>
  <c r="W9" i="3"/>
  <c r="M9" i="3"/>
  <c r="R9" i="3"/>
  <c r="M15" i="3"/>
  <c r="R15" i="3"/>
  <c r="AB15" i="3"/>
  <c r="W15" i="3"/>
  <c r="O16" i="1"/>
  <c r="R14" i="3"/>
  <c r="W14" i="3"/>
  <c r="M14" i="3"/>
  <c r="O15" i="1"/>
  <c r="M83" i="3"/>
  <c r="F83" i="3"/>
  <c r="O83" i="3"/>
  <c r="I83" i="3"/>
  <c r="K83" i="3"/>
  <c r="K79" i="3"/>
  <c r="I79" i="3"/>
  <c r="M79" i="3"/>
  <c r="F79" i="3"/>
  <c r="I71" i="3"/>
  <c r="F71" i="3"/>
  <c r="K71" i="3"/>
  <c r="K81" i="3"/>
  <c r="I81" i="3"/>
  <c r="F81" i="3"/>
  <c r="M81" i="3"/>
  <c r="M82" i="3"/>
  <c r="O82" i="3"/>
  <c r="K82" i="3"/>
  <c r="I82" i="3"/>
  <c r="F82" i="3"/>
  <c r="M77" i="3"/>
  <c r="I77" i="3"/>
  <c r="F77" i="3"/>
  <c r="K77" i="3"/>
  <c r="I70" i="3"/>
  <c r="K70" i="3"/>
  <c r="F70" i="3"/>
  <c r="K78" i="3"/>
  <c r="F78" i="3"/>
  <c r="M78" i="3"/>
  <c r="I78" i="3"/>
  <c r="I75" i="3"/>
  <c r="K75" i="3"/>
  <c r="F75" i="3"/>
  <c r="F76" i="3"/>
  <c r="K76" i="3"/>
  <c r="I76" i="3"/>
  <c r="K73" i="3"/>
  <c r="F73" i="3"/>
  <c r="I73" i="3"/>
  <c r="F74" i="3"/>
  <c r="I74" i="3"/>
  <c r="K74" i="3"/>
  <c r="F80" i="3"/>
  <c r="I80" i="3"/>
  <c r="M80" i="3"/>
  <c r="K80" i="3"/>
  <c r="I72" i="3"/>
  <c r="K72" i="3"/>
  <c r="F72" i="3"/>
  <c r="C77" i="3"/>
  <c r="AJ22" i="3"/>
  <c r="C83" i="3"/>
  <c r="AD20" i="3"/>
  <c r="C76" i="3"/>
  <c r="C79" i="3"/>
  <c r="C81" i="3"/>
  <c r="C80" i="3"/>
  <c r="C82" i="3"/>
  <c r="C72" i="3"/>
  <c r="C78" i="3"/>
  <c r="C75" i="3"/>
  <c r="O16" i="3"/>
  <c r="T16" i="3"/>
  <c r="Y16" i="3"/>
  <c r="AD17" i="3"/>
  <c r="G18" i="1"/>
  <c r="H18" i="1" s="1"/>
  <c r="S17" i="1"/>
  <c r="K7" i="2"/>
  <c r="K8" i="2"/>
  <c r="K9" i="2"/>
  <c r="K10" i="2"/>
  <c r="K11" i="2"/>
  <c r="K12" i="2"/>
  <c r="K13" i="2"/>
  <c r="K14" i="2"/>
  <c r="K15" i="2"/>
  <c r="K6" i="2"/>
  <c r="H7" i="2"/>
  <c r="H8" i="2"/>
  <c r="H9" i="2"/>
  <c r="H10" i="2"/>
  <c r="H11" i="2"/>
  <c r="H12" i="2"/>
  <c r="H13" i="2"/>
  <c r="H14" i="2"/>
  <c r="H15" i="2"/>
  <c r="H6" i="2"/>
  <c r="P10" i="4"/>
  <c r="P11" i="4"/>
  <c r="P12" i="4"/>
  <c r="P13" i="4"/>
  <c r="P14" i="4"/>
  <c r="P15" i="4"/>
  <c r="P9" i="4"/>
  <c r="M7" i="4"/>
  <c r="M8" i="4"/>
  <c r="M9" i="4"/>
  <c r="M10" i="4"/>
  <c r="M11" i="4"/>
  <c r="M12" i="4"/>
  <c r="M13" i="4"/>
  <c r="M14" i="4"/>
  <c r="M15" i="4"/>
  <c r="M6" i="4"/>
  <c r="J7" i="4"/>
  <c r="J8" i="4"/>
  <c r="J9" i="4"/>
  <c r="J10" i="4"/>
  <c r="J11" i="4"/>
  <c r="J12" i="4"/>
  <c r="J13" i="4"/>
  <c r="J14" i="4"/>
  <c r="J15" i="4"/>
  <c r="J6" i="4"/>
  <c r="E6" i="4"/>
  <c r="E7" i="4"/>
  <c r="D15" i="4"/>
  <c r="E16" i="4" s="1"/>
  <c r="K17" i="5"/>
  <c r="B11" i="5"/>
  <c r="G12" i="5"/>
  <c r="G13" i="5"/>
  <c r="G14" i="5"/>
  <c r="G15" i="5"/>
  <c r="G16" i="5"/>
  <c r="G17" i="5"/>
  <c r="G11" i="5"/>
  <c r="J12" i="5"/>
  <c r="J13" i="5"/>
  <c r="J14" i="5"/>
  <c r="J15" i="5"/>
  <c r="J16" i="5"/>
  <c r="J17" i="5"/>
  <c r="J11" i="5"/>
  <c r="M11" i="5"/>
  <c r="M12" i="5"/>
  <c r="M13" i="5"/>
  <c r="M14" i="5"/>
  <c r="M15" i="5"/>
  <c r="M16" i="5"/>
  <c r="M10" i="5"/>
  <c r="P17" i="5"/>
  <c r="L17" i="5" l="1"/>
  <c r="L18" i="5"/>
  <c r="AH27" i="3"/>
  <c r="AJ21" i="3"/>
  <c r="AJ27" i="3" s="1"/>
  <c r="G22" i="3"/>
  <c r="G14" i="3"/>
  <c r="G18" i="3"/>
  <c r="G11" i="3"/>
  <c r="G23" i="3"/>
  <c r="G15" i="3"/>
  <c r="G17" i="3"/>
  <c r="G19" i="3"/>
  <c r="G21" i="3"/>
  <c r="G16" i="3"/>
  <c r="G20" i="3"/>
  <c r="B17" i="5"/>
  <c r="AD17" i="1"/>
  <c r="D14" i="5"/>
  <c r="D12" i="5"/>
  <c r="D15" i="5"/>
  <c r="AD19" i="3"/>
  <c r="AD16" i="3"/>
  <c r="Z17" i="5"/>
  <c r="AB17" i="5"/>
  <c r="AA17" i="5"/>
  <c r="AP15" i="3"/>
  <c r="AR15" i="3"/>
  <c r="AQ15" i="3"/>
  <c r="D16" i="5"/>
  <c r="D13" i="5"/>
  <c r="V15" i="3"/>
  <c r="V16" i="3"/>
  <c r="W18" i="1"/>
  <c r="Z17" i="1"/>
  <c r="M17" i="5"/>
  <c r="D17" i="5" s="1"/>
  <c r="D11" i="5"/>
  <c r="W27" i="3"/>
  <c r="V7" i="1"/>
  <c r="V6" i="1"/>
  <c r="C18" i="5" l="1"/>
  <c r="AC17" i="1"/>
  <c r="AB17" i="1"/>
  <c r="AA18" i="1"/>
  <c r="V8" i="1"/>
  <c r="AO15" i="3"/>
  <c r="AN15" i="3"/>
  <c r="AM15" i="3"/>
  <c r="AL15" i="3"/>
  <c r="E16" i="3"/>
  <c r="H15" i="4"/>
  <c r="J7" i="1"/>
  <c r="J8" i="1"/>
  <c r="J16" i="1"/>
  <c r="J6" i="1"/>
  <c r="D14" i="4"/>
  <c r="J15" i="1" s="1"/>
  <c r="V9" i="1" l="1"/>
  <c r="V10" i="1" s="1"/>
  <c r="L8" i="1"/>
  <c r="M8" i="1" s="1"/>
  <c r="L17" i="1"/>
  <c r="M17" i="1" s="1"/>
  <c r="E15" i="4"/>
  <c r="L16" i="1"/>
  <c r="M16" i="1" s="1"/>
  <c r="L7" i="1"/>
  <c r="M7" i="1" s="1"/>
  <c r="B16" i="5"/>
  <c r="B15" i="5"/>
  <c r="B14" i="5"/>
  <c r="B13" i="5"/>
  <c r="B12" i="5"/>
  <c r="Q15" i="4"/>
  <c r="N15" i="4"/>
  <c r="K15" i="4"/>
  <c r="C15" i="4"/>
  <c r="Q14" i="4"/>
  <c r="N14" i="4"/>
  <c r="K14" i="4"/>
  <c r="F14" i="4"/>
  <c r="C14" i="4"/>
  <c r="Q13" i="4"/>
  <c r="N13" i="4"/>
  <c r="K13" i="4"/>
  <c r="D13" i="4"/>
  <c r="C13" i="4"/>
  <c r="Q12" i="4"/>
  <c r="N12" i="4"/>
  <c r="K12" i="4"/>
  <c r="D12" i="4"/>
  <c r="C12" i="4"/>
  <c r="Q11" i="4"/>
  <c r="N11" i="4"/>
  <c r="K11" i="4"/>
  <c r="D11" i="4"/>
  <c r="C11" i="4"/>
  <c r="Q10" i="4"/>
  <c r="N10" i="4"/>
  <c r="K10" i="4"/>
  <c r="D10" i="4"/>
  <c r="C10" i="4"/>
  <c r="Q9" i="4"/>
  <c r="N9" i="4"/>
  <c r="K9" i="4"/>
  <c r="D9" i="4"/>
  <c r="C9" i="4"/>
  <c r="Q8" i="4"/>
  <c r="N8" i="4"/>
  <c r="K8" i="4"/>
  <c r="D8" i="4"/>
  <c r="N7" i="4"/>
  <c r="K7" i="4"/>
  <c r="F7" i="4"/>
  <c r="N6" i="4"/>
  <c r="K6" i="4"/>
  <c r="F6" i="4"/>
  <c r="N5" i="4"/>
  <c r="K5" i="4"/>
  <c r="F5" i="4"/>
  <c r="X15" i="3"/>
  <c r="S15" i="3"/>
  <c r="N15" i="3"/>
  <c r="N16" i="1"/>
  <c r="X14" i="3"/>
  <c r="S14" i="3"/>
  <c r="N14" i="3"/>
  <c r="Y14" i="3"/>
  <c r="X13" i="3"/>
  <c r="S13" i="3"/>
  <c r="N13" i="3"/>
  <c r="D13" i="3"/>
  <c r="T13" i="3"/>
  <c r="X12" i="3"/>
  <c r="S12" i="3"/>
  <c r="N12" i="3"/>
  <c r="D12" i="3"/>
  <c r="T12" i="3"/>
  <c r="X11" i="3"/>
  <c r="S11" i="3"/>
  <c r="N11" i="3"/>
  <c r="X10" i="3"/>
  <c r="S10" i="3"/>
  <c r="N10" i="3"/>
  <c r="D10" i="3"/>
  <c r="O10" i="3"/>
  <c r="X9" i="3"/>
  <c r="S9" i="3"/>
  <c r="N9" i="3"/>
  <c r="D9" i="3"/>
  <c r="F9" i="3" s="1"/>
  <c r="O10" i="1" s="1"/>
  <c r="X8" i="3"/>
  <c r="S8" i="3"/>
  <c r="N8" i="3"/>
  <c r="D8" i="3"/>
  <c r="X7" i="3"/>
  <c r="S7" i="3"/>
  <c r="N7" i="3"/>
  <c r="D7" i="3"/>
  <c r="H7" i="3" s="1"/>
  <c r="X6" i="3"/>
  <c r="S6" i="3"/>
  <c r="N6" i="3"/>
  <c r="D6" i="3"/>
  <c r="H6" i="3" s="1"/>
  <c r="X5" i="3"/>
  <c r="S5" i="3"/>
  <c r="N5" i="3"/>
  <c r="D5" i="3"/>
  <c r="D5" i="2"/>
  <c r="I5" i="2"/>
  <c r="L5" i="2"/>
  <c r="D6" i="2"/>
  <c r="I6" i="2"/>
  <c r="L6" i="2"/>
  <c r="D7" i="2"/>
  <c r="I7" i="2"/>
  <c r="L7" i="2"/>
  <c r="D8" i="2"/>
  <c r="I8" i="2"/>
  <c r="L8" i="2"/>
  <c r="D9" i="2"/>
  <c r="I9" i="2"/>
  <c r="L9" i="2"/>
  <c r="D10" i="2"/>
  <c r="I10" i="2"/>
  <c r="L10" i="2"/>
  <c r="D11" i="2"/>
  <c r="I11" i="2"/>
  <c r="L11" i="2"/>
  <c r="D12" i="2"/>
  <c r="I12" i="2"/>
  <c r="L12" i="2"/>
  <c r="D13" i="2"/>
  <c r="I13" i="2"/>
  <c r="L13" i="2"/>
  <c r="D14" i="2"/>
  <c r="I14" i="2"/>
  <c r="L14" i="2"/>
  <c r="D15" i="2"/>
  <c r="I15" i="2"/>
  <c r="L15" i="2"/>
  <c r="C9" i="2"/>
  <c r="C10" i="2"/>
  <c r="C11" i="2"/>
  <c r="C12" i="2"/>
  <c r="C13" i="2"/>
  <c r="C14" i="2"/>
  <c r="C15" i="2"/>
  <c r="C13" i="5" l="1"/>
  <c r="C14" i="5"/>
  <c r="C12" i="5"/>
  <c r="C16" i="5"/>
  <c r="C17" i="5"/>
  <c r="C15" i="5"/>
  <c r="F10" i="3"/>
  <c r="G10" i="3"/>
  <c r="F12" i="3"/>
  <c r="G12" i="3"/>
  <c r="F13" i="3"/>
  <c r="G13" i="3"/>
  <c r="G9" i="3"/>
  <c r="O13" i="1"/>
  <c r="O14" i="1"/>
  <c r="O11" i="1"/>
  <c r="X27" i="3"/>
  <c r="D27" i="3"/>
  <c r="H5" i="3"/>
  <c r="D70" i="3"/>
  <c r="C70" i="3"/>
  <c r="D73" i="3"/>
  <c r="C73" i="3"/>
  <c r="D74" i="3"/>
  <c r="C74" i="3"/>
  <c r="H9" i="3"/>
  <c r="D71" i="3"/>
  <c r="C71" i="3"/>
  <c r="H8" i="3"/>
  <c r="L27" i="2"/>
  <c r="D27" i="2"/>
  <c r="C27" i="2"/>
  <c r="I27" i="2"/>
  <c r="AO10" i="3"/>
  <c r="AN10" i="3"/>
  <c r="AL10" i="3"/>
  <c r="AM10" i="3"/>
  <c r="AN6" i="3"/>
  <c r="AL6" i="3"/>
  <c r="AM6" i="3"/>
  <c r="AO6" i="3"/>
  <c r="AO8" i="3"/>
  <c r="AN8" i="3"/>
  <c r="AM8" i="3"/>
  <c r="AL8" i="3"/>
  <c r="AL13" i="3"/>
  <c r="AO13" i="3"/>
  <c r="AN13" i="3"/>
  <c r="AM13" i="3"/>
  <c r="AL12" i="3"/>
  <c r="AO12" i="3"/>
  <c r="AN12" i="3"/>
  <c r="AM12" i="3"/>
  <c r="N6" i="1"/>
  <c r="AL5" i="3"/>
  <c r="AO5" i="3"/>
  <c r="AN5" i="3"/>
  <c r="AM5" i="3"/>
  <c r="AO7" i="3"/>
  <c r="AN7" i="3"/>
  <c r="AM7" i="3"/>
  <c r="AL7" i="3"/>
  <c r="AM9" i="3"/>
  <c r="AL9" i="3"/>
  <c r="AO9" i="3"/>
  <c r="AN9" i="3"/>
  <c r="AN14" i="3"/>
  <c r="AL14" i="3"/>
  <c r="AM14" i="3"/>
  <c r="AO14" i="3"/>
  <c r="AO11" i="3"/>
  <c r="AN11" i="3"/>
  <c r="AM11" i="3"/>
  <c r="AL11" i="3"/>
  <c r="E7" i="1"/>
  <c r="E6" i="2"/>
  <c r="F6" i="2"/>
  <c r="E12" i="1"/>
  <c r="F11" i="2"/>
  <c r="E11" i="2"/>
  <c r="E9" i="1"/>
  <c r="E8" i="2"/>
  <c r="F8" i="2"/>
  <c r="E10" i="1"/>
  <c r="F9" i="2"/>
  <c r="E9" i="2"/>
  <c r="E14" i="1"/>
  <c r="F13" i="2"/>
  <c r="E13" i="2"/>
  <c r="E11" i="1"/>
  <c r="E10" i="2"/>
  <c r="F10" i="2"/>
  <c r="E15" i="1"/>
  <c r="T15" i="1" s="1"/>
  <c r="E14" i="2"/>
  <c r="E6" i="1"/>
  <c r="F5" i="2"/>
  <c r="E8" i="1"/>
  <c r="E7" i="2"/>
  <c r="F7" i="2"/>
  <c r="E13" i="1"/>
  <c r="E12" i="2"/>
  <c r="F12" i="2"/>
  <c r="R17" i="1"/>
  <c r="Q17" i="1"/>
  <c r="E16" i="1"/>
  <c r="T16" i="1" s="1"/>
  <c r="E16" i="2"/>
  <c r="F15" i="2"/>
  <c r="E15" i="2"/>
  <c r="E11" i="4"/>
  <c r="J12" i="1"/>
  <c r="K25" i="1" s="1"/>
  <c r="E10" i="4"/>
  <c r="J11" i="1"/>
  <c r="F13" i="4"/>
  <c r="E13" i="4"/>
  <c r="J14" i="1"/>
  <c r="E9" i="4"/>
  <c r="J10" i="1"/>
  <c r="E8" i="4"/>
  <c r="J9" i="1"/>
  <c r="E12" i="4"/>
  <c r="J13" i="1"/>
  <c r="F9" i="4"/>
  <c r="F12" i="4"/>
  <c r="E14" i="4"/>
  <c r="E10" i="3"/>
  <c r="N11" i="1"/>
  <c r="AB27" i="3"/>
  <c r="Y15" i="3"/>
  <c r="E7" i="3"/>
  <c r="N8" i="1"/>
  <c r="E12" i="3"/>
  <c r="N13" i="1"/>
  <c r="E9" i="3"/>
  <c r="N10" i="1"/>
  <c r="E14" i="3"/>
  <c r="N15" i="1"/>
  <c r="Q16" i="1" s="1"/>
  <c r="E15" i="3"/>
  <c r="E11" i="3"/>
  <c r="N12" i="1"/>
  <c r="E6" i="3"/>
  <c r="N7" i="1"/>
  <c r="E8" i="3"/>
  <c r="N9" i="1"/>
  <c r="E13" i="3"/>
  <c r="N14" i="1"/>
  <c r="V11" i="1"/>
  <c r="H10" i="3" s="1"/>
  <c r="J14" i="3"/>
  <c r="O13" i="3"/>
  <c r="F8" i="4"/>
  <c r="F15" i="4"/>
  <c r="Y13" i="3"/>
  <c r="Y9" i="3"/>
  <c r="Y10" i="3"/>
  <c r="T15" i="3"/>
  <c r="J15" i="3"/>
  <c r="F11" i="4"/>
  <c r="F10" i="4"/>
  <c r="H14" i="4"/>
  <c r="Y11" i="3"/>
  <c r="O11" i="3"/>
  <c r="T11" i="3"/>
  <c r="T14" i="3"/>
  <c r="Y12" i="3"/>
  <c r="O12" i="3"/>
  <c r="J13" i="3"/>
  <c r="O9" i="3"/>
  <c r="T10" i="3"/>
  <c r="O15" i="3"/>
  <c r="F14" i="2"/>
  <c r="P24" i="1" l="1"/>
  <c r="P25" i="1"/>
  <c r="F24" i="1"/>
  <c r="I24" i="1" s="1"/>
  <c r="F25" i="1"/>
  <c r="I25" i="1" s="1"/>
  <c r="T10" i="1"/>
  <c r="T12" i="1"/>
  <c r="T11" i="1"/>
  <c r="T14" i="1"/>
  <c r="T13" i="1"/>
  <c r="Y27" i="3"/>
  <c r="F27" i="3"/>
  <c r="J27" i="3"/>
  <c r="K23" i="1"/>
  <c r="K24" i="1"/>
  <c r="F22" i="1"/>
  <c r="I22" i="1" s="1"/>
  <c r="F23" i="1"/>
  <c r="I23" i="1" s="1"/>
  <c r="P22" i="1"/>
  <c r="P23" i="1"/>
  <c r="K21" i="1"/>
  <c r="K22" i="1"/>
  <c r="G15" i="1"/>
  <c r="H15" i="1" s="1"/>
  <c r="P20" i="1"/>
  <c r="P21" i="1"/>
  <c r="F20" i="1"/>
  <c r="I20" i="1" s="1"/>
  <c r="F21" i="1"/>
  <c r="I21" i="1" s="1"/>
  <c r="F27" i="2"/>
  <c r="K19" i="1"/>
  <c r="K20" i="1"/>
  <c r="O14" i="3"/>
  <c r="G11" i="1"/>
  <c r="H11" i="1" s="1"/>
  <c r="G8" i="1"/>
  <c r="H8" i="1" s="1"/>
  <c r="G7" i="1"/>
  <c r="H7" i="1" s="1"/>
  <c r="P18" i="1"/>
  <c r="P19" i="1"/>
  <c r="F13" i="1"/>
  <c r="I13" i="1" s="1"/>
  <c r="F18" i="1"/>
  <c r="I18" i="1" s="1"/>
  <c r="F19" i="1"/>
  <c r="I19" i="1" s="1"/>
  <c r="F15" i="1"/>
  <c r="I15" i="1" s="1"/>
  <c r="G12" i="1"/>
  <c r="H12" i="1" s="1"/>
  <c r="F14" i="1"/>
  <c r="I14" i="1" s="1"/>
  <c r="G10" i="1"/>
  <c r="H10" i="1" s="1"/>
  <c r="G13" i="1"/>
  <c r="H13" i="1" s="1"/>
  <c r="F17" i="1"/>
  <c r="I17" i="1" s="1"/>
  <c r="G9" i="1"/>
  <c r="H9" i="1" s="1"/>
  <c r="Q7" i="1"/>
  <c r="AD15" i="3"/>
  <c r="AD27" i="3" s="1"/>
  <c r="G14" i="1"/>
  <c r="H14" i="1" s="1"/>
  <c r="K17" i="1"/>
  <c r="K18" i="1"/>
  <c r="Q12" i="1"/>
  <c r="P17" i="1"/>
  <c r="G17" i="1"/>
  <c r="H17" i="1" s="1"/>
  <c r="G16" i="1"/>
  <c r="H16" i="1" s="1"/>
  <c r="F16" i="1"/>
  <c r="I16" i="1" s="1"/>
  <c r="R11" i="1"/>
  <c r="Q10" i="1"/>
  <c r="Q11" i="1"/>
  <c r="Q13" i="1"/>
  <c r="P13" i="1"/>
  <c r="R9" i="1"/>
  <c r="Q8" i="1"/>
  <c r="R15" i="1"/>
  <c r="Q14" i="1"/>
  <c r="P14" i="1"/>
  <c r="R16" i="1"/>
  <c r="Q15" i="1"/>
  <c r="P15" i="1"/>
  <c r="Q9" i="1"/>
  <c r="P16" i="1"/>
  <c r="L9" i="1"/>
  <c r="M9" i="1" s="1"/>
  <c r="L12" i="1"/>
  <c r="M12" i="1" s="1"/>
  <c r="K16" i="1"/>
  <c r="K15" i="1"/>
  <c r="K13" i="1"/>
  <c r="L13" i="1"/>
  <c r="M13" i="1" s="1"/>
  <c r="L11" i="1"/>
  <c r="M11" i="1" s="1"/>
  <c r="L10" i="1"/>
  <c r="M10" i="1" s="1"/>
  <c r="K14" i="1"/>
  <c r="L14" i="1"/>
  <c r="M14" i="1" s="1"/>
  <c r="L15" i="1"/>
  <c r="M15" i="1" s="1"/>
  <c r="R10" i="1"/>
  <c r="R12" i="1"/>
  <c r="R8" i="1"/>
  <c r="R7" i="1"/>
  <c r="R14" i="1"/>
  <c r="R13" i="1"/>
  <c r="V12" i="1"/>
  <c r="H11" i="3" s="1"/>
  <c r="T9" i="3"/>
  <c r="AD38" i="1" l="1"/>
  <c r="AD40" i="1"/>
  <c r="AD39" i="1"/>
  <c r="V13" i="1"/>
  <c r="H12" i="3" s="1"/>
  <c r="C15" i="1"/>
  <c r="V14" i="1" l="1"/>
  <c r="H13" i="3" s="1"/>
  <c r="S16" i="1"/>
  <c r="W17" i="1" l="1"/>
  <c r="AD16" i="1"/>
  <c r="V15" i="1"/>
  <c r="H14" i="3" s="1"/>
  <c r="H27" i="3" s="1"/>
  <c r="Z16" i="1" l="1"/>
  <c r="C14" i="1"/>
  <c r="AC16" i="1" l="1"/>
  <c r="AB16" i="1"/>
  <c r="AA17" i="1"/>
  <c r="S15" i="1"/>
  <c r="S14" i="1"/>
  <c r="S7" i="1"/>
  <c r="Z7" i="1" s="1"/>
  <c r="S8" i="1"/>
  <c r="C13" i="1"/>
  <c r="C12" i="1"/>
  <c r="C11" i="1"/>
  <c r="C10" i="1"/>
  <c r="Z14" i="1" l="1"/>
  <c r="AD14" i="1"/>
  <c r="Z15" i="1"/>
  <c r="AD15" i="1"/>
  <c r="W8" i="1"/>
  <c r="Z8" i="1"/>
  <c r="AA8" i="1" s="1"/>
  <c r="W15" i="1"/>
  <c r="W16" i="1"/>
  <c r="S9" i="1"/>
  <c r="S6" i="1"/>
  <c r="S11" i="1"/>
  <c r="S13" i="1"/>
  <c r="S10" i="1"/>
  <c r="S12" i="1"/>
  <c r="AC15" i="1" l="1"/>
  <c r="AB15" i="1"/>
  <c r="AC14" i="1"/>
  <c r="AB14" i="1"/>
  <c r="X24" i="1"/>
  <c r="Y24" i="1"/>
  <c r="Z10" i="1"/>
  <c r="AD13" i="1"/>
  <c r="AA16" i="1"/>
  <c r="X23" i="1"/>
  <c r="Y23" i="1"/>
  <c r="X22" i="1"/>
  <c r="Y22" i="1"/>
  <c r="Y21" i="1"/>
  <c r="X21" i="1"/>
  <c r="AD12" i="1"/>
  <c r="X20" i="1"/>
  <c r="Y20" i="1"/>
  <c r="AA15" i="1"/>
  <c r="Z11" i="1"/>
  <c r="AD11" i="1"/>
  <c r="X19" i="1"/>
  <c r="Y19" i="1"/>
  <c r="X18" i="1"/>
  <c r="Y18" i="1"/>
  <c r="X17" i="1"/>
  <c r="Y17" i="1"/>
  <c r="X15" i="1"/>
  <c r="X16" i="1"/>
  <c r="X14" i="1"/>
  <c r="X13" i="1"/>
  <c r="W14" i="1"/>
  <c r="Z13" i="1"/>
  <c r="W7" i="1"/>
  <c r="Z6" i="1"/>
  <c r="W9" i="1"/>
  <c r="Z9" i="1"/>
  <c r="AA9" i="1" s="1"/>
  <c r="Y14" i="1"/>
  <c r="Z12" i="1"/>
  <c r="W11" i="1"/>
  <c r="W12" i="1"/>
  <c r="Y16" i="1"/>
  <c r="W10" i="1"/>
  <c r="W13" i="1"/>
  <c r="Y13" i="1"/>
  <c r="Y15" i="1"/>
  <c r="AC11" i="1" l="1"/>
  <c r="AB11" i="1"/>
  <c r="AC10" i="1"/>
  <c r="AB10" i="1"/>
  <c r="AC12" i="1"/>
  <c r="AB12" i="1"/>
  <c r="AC13" i="1"/>
  <c r="AB13" i="1"/>
  <c r="AA11" i="1"/>
  <c r="AD28" i="1"/>
  <c r="AA12" i="1"/>
  <c r="AA13" i="1"/>
  <c r="AA14" i="1"/>
  <c r="AA7" i="1"/>
  <c r="A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Falk Mikael</author>
  </authors>
  <commentList>
    <comment ref="O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Falk Mikael:</t>
        </r>
        <r>
          <rPr>
            <sz val="9"/>
            <color indexed="81"/>
            <rFont val="Tahoma"/>
            <family val="2"/>
          </rPr>
          <t xml:space="preserve">
Det beräknade värdet är baserat på en upskattad årlig förbrukning, inte verklig förbrukning.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Falk Mikael</author>
  </authors>
  <commentList>
    <comment ref="AC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Falk Mikael:</t>
        </r>
        <r>
          <rPr>
            <sz val="9"/>
            <color indexed="81"/>
            <rFont val="Tahoma"/>
            <family val="2"/>
          </rPr>
          <t xml:space="preserve">
Det beräknade värdet är baserat på en uppskattad årlig förbrukning, inte verklig förbrukning.</t>
        </r>
      </text>
    </comment>
    <comment ref="AD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Falk Mikael:
</t>
        </r>
        <r>
          <rPr>
            <sz val="9"/>
            <color indexed="81"/>
            <rFont val="Tahoma"/>
            <family val="2"/>
          </rPr>
          <t>Det beräknade värdet är baserat på en uppskattad årlig förbrukning, inte verklig förbrukning.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Falk Mikael</author>
  </authors>
  <commentList>
    <comment ref="T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Falk Mikael:</t>
        </r>
        <r>
          <rPr>
            <sz val="9"/>
            <color indexed="81"/>
            <rFont val="Tahoma"/>
            <family val="2"/>
          </rPr>
          <t xml:space="preserve">
Det beräknade värdet är baserat på en uppskattad årlig förbrukning, inte verklig förbrukning.</t>
        </r>
      </text>
    </comment>
  </commentList>
</comments>
</file>

<file path=xl/sharedStrings.xml><?xml version="1.0" encoding="utf-8"?>
<sst xmlns="http://schemas.openxmlformats.org/spreadsheetml/2006/main" count="673" uniqueCount="128">
  <si>
    <t>Snittvärde:</t>
  </si>
  <si>
    <t>Jönköpings Flygplats Graddagar normalår</t>
  </si>
  <si>
    <t>Mätslag EL (Mwh)</t>
  </si>
  <si>
    <t>Mätslag Fjärrkyla (Mwh)</t>
  </si>
  <si>
    <t>Mätslag Fjärrvärme (Mwh)</t>
  </si>
  <si>
    <t>Mätslag Kallvatten (m3)</t>
  </si>
  <si>
    <t>Hus A+B+C+D+E+H</t>
  </si>
  <si>
    <t>Totalt</t>
  </si>
  <si>
    <t>Hus F+G+I</t>
  </si>
  <si>
    <t>18941 m² BRA</t>
  </si>
  <si>
    <t>-</t>
  </si>
  <si>
    <t>Hus A+B+C+D+E</t>
  </si>
  <si>
    <t>41010 m² BRA</t>
  </si>
  <si>
    <t>Hus H</t>
  </si>
  <si>
    <t>18891 m² BRA</t>
  </si>
  <si>
    <t xml:space="preserve">Totalt </t>
  </si>
  <si>
    <t>År</t>
  </si>
  <si>
    <t>Medel</t>
  </si>
  <si>
    <t>EL</t>
  </si>
  <si>
    <t>FJÄRRKYLA</t>
  </si>
  <si>
    <t>FJÄRRVÄRME</t>
  </si>
  <si>
    <t>KALLVATTEN</t>
  </si>
  <si>
    <t>Högskolan energi och vattenförbrukning</t>
  </si>
  <si>
    <t>CO2 påverkan</t>
  </si>
  <si>
    <t>g/förbr. kWh</t>
  </si>
  <si>
    <t>kg/m²   /år</t>
  </si>
  <si>
    <t>m²BRA</t>
  </si>
  <si>
    <t>A+B</t>
  </si>
  <si>
    <t>C</t>
  </si>
  <si>
    <t>Hus</t>
  </si>
  <si>
    <t>JIBS/IHH</t>
  </si>
  <si>
    <t>Verksamhet</t>
  </si>
  <si>
    <t>Bibliotek</t>
  </si>
  <si>
    <t>D</t>
  </si>
  <si>
    <t>JTH</t>
  </si>
  <si>
    <t>E</t>
  </si>
  <si>
    <t>Studenternas hus</t>
  </si>
  <si>
    <t>F</t>
  </si>
  <si>
    <t>HHJ</t>
  </si>
  <si>
    <t>G</t>
  </si>
  <si>
    <t>H</t>
  </si>
  <si>
    <t>I</t>
  </si>
  <si>
    <t>Mariedal</t>
  </si>
  <si>
    <t>Hallon ett</t>
  </si>
  <si>
    <t>HLK</t>
  </si>
  <si>
    <t>Högskole-området Graddagar</t>
  </si>
  <si>
    <t>Korrigerings faktor</t>
  </si>
  <si>
    <t>%</t>
  </si>
  <si>
    <t>TOTALT</t>
  </si>
  <si>
    <t>Graddags korrigerat</t>
  </si>
  <si>
    <t>Hus J</t>
  </si>
  <si>
    <t>4826 m² BRA</t>
  </si>
  <si>
    <t>J</t>
  </si>
  <si>
    <t>Campus Aréna</t>
  </si>
  <si>
    <t>kWh/m² BRA</t>
  </si>
  <si>
    <t>Mätslag Kallvatten (m³)</t>
  </si>
  <si>
    <t>El MWh</t>
  </si>
  <si>
    <t>Fjärrkyla MWh</t>
  </si>
  <si>
    <t>Fjärrvärme MWh</t>
  </si>
  <si>
    <t>Summa MWh</t>
  </si>
  <si>
    <t>Förändring i % från föregående år</t>
  </si>
  <si>
    <t>Förändring i % från 2009</t>
  </si>
  <si>
    <t>Förändring i MWh från 2009</t>
  </si>
  <si>
    <t>Summa</t>
  </si>
  <si>
    <t>m³ BRA</t>
  </si>
  <si>
    <t>kWh/m²</t>
  </si>
  <si>
    <t>1997 &amp; 2004</t>
  </si>
  <si>
    <t>köptes 2006</t>
  </si>
  <si>
    <t>Färdigställt</t>
  </si>
  <si>
    <t>2009 är referensår</t>
  </si>
  <si>
    <t>Totalt 83664 m² BRA</t>
  </si>
  <si>
    <t>Diff i %</t>
  </si>
  <si>
    <t>Korrigerings faktor graddags-beroende</t>
  </si>
  <si>
    <t>Nyckeltal l/m²/år BRA</t>
  </si>
  <si>
    <t>kWh/m²/år graddags korrigerat</t>
  </si>
  <si>
    <t>Nyckeltal kWh/m²/år BRA</t>
  </si>
  <si>
    <t>kg/m² /år</t>
  </si>
  <si>
    <t>kWh/m²/år BRA</t>
  </si>
  <si>
    <t>Förändring i MWh från föregående år</t>
  </si>
  <si>
    <t>Förändring mot referensår i MWh</t>
  </si>
  <si>
    <t>EL-energi</t>
  </si>
  <si>
    <t>Fjärrkyla</t>
  </si>
  <si>
    <t>Fjärrvärme</t>
  </si>
  <si>
    <t>Förändring baserad på summerad förbrukning</t>
  </si>
  <si>
    <t>83 668 m² BRA</t>
  </si>
  <si>
    <t>59 901 m² BRA</t>
  </si>
  <si>
    <t>18 941 m² BRA</t>
  </si>
  <si>
    <t>4 826 m² BRA</t>
  </si>
  <si>
    <t>Hus A+B</t>
  </si>
  <si>
    <t>Hus C</t>
  </si>
  <si>
    <t>Hus D</t>
  </si>
  <si>
    <t>Hus E</t>
  </si>
  <si>
    <t>Hus F</t>
  </si>
  <si>
    <t>Hus G</t>
  </si>
  <si>
    <t>Hus I</t>
  </si>
  <si>
    <t>Beräknade årliga förbrukningar i m³ kopplade till bruksarea (BRA)</t>
  </si>
  <si>
    <t>Beräknade årliga förbrukningar i MWh kopplade till bruksarea (BRA)</t>
  </si>
  <si>
    <t>Helårsstudenter + personal</t>
  </si>
  <si>
    <t>kWh/Brukare</t>
  </si>
  <si>
    <t>Brukare enl. UKÄ</t>
  </si>
  <si>
    <t>K</t>
  </si>
  <si>
    <t>Högskoleservice</t>
  </si>
  <si>
    <t>Hus K</t>
  </si>
  <si>
    <t>7096 m² BRA</t>
  </si>
  <si>
    <t>Hus K 7096 m² BRA</t>
  </si>
  <si>
    <t xml:space="preserve">Hus A+B+C+D+E  </t>
  </si>
  <si>
    <t>90764 m² BRA</t>
  </si>
  <si>
    <t>E1</t>
  </si>
  <si>
    <t>Hälso</t>
  </si>
  <si>
    <t>CA</t>
  </si>
  <si>
    <t>GDKoef</t>
  </si>
  <si>
    <t>v</t>
  </si>
  <si>
    <t>k</t>
  </si>
  <si>
    <t>Korrigerings-faktor Campus</t>
  </si>
  <si>
    <t>Graddags-korrigerat kWh/m² JKPG Flyplats</t>
  </si>
  <si>
    <t>Graddags-korrigerat kWh/m² Campus JKPG</t>
  </si>
  <si>
    <t>Campus JKPG graddagar medelvärde</t>
  </si>
  <si>
    <t>Summa MWh graddagskorr.</t>
  </si>
  <si>
    <t>Graddag JU</t>
  </si>
  <si>
    <t>Värme</t>
  </si>
  <si>
    <t>Förbrukn.</t>
  </si>
  <si>
    <t>Graddags</t>
  </si>
  <si>
    <t>Beräknad</t>
  </si>
  <si>
    <t>E1 V.Vatten</t>
  </si>
  <si>
    <t>V.vatten</t>
  </si>
  <si>
    <t>Graddagskorrigerat</t>
  </si>
  <si>
    <t>Normalår Campus Jönköping graddagar</t>
  </si>
  <si>
    <t>Förändring i % mot referensår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</si>
</sst>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0.000"/>
    <numFmt numFmtId="166" formatCode="#,##0.0000"/>
    <numFmt numFmtId="167" formatCode="0.0"/>
    <numFmt numFmtId="168" formatCode="#,##0.000000"/>
    <numFmt numFmtId="169" formatCode="#,##0.000"/>
    <numFmt numFmtId="170" formatCode="#,##0.0"/>
    <numFmt numFmtId="171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8">
    <xf numFmtId="0" fontId="0" fillId="0" borderId="0" xfId="0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/>
    <xf numFmtId="0" fontId="1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22" xfId="0" applyBorder="1"/>
    <xf numFmtId="166" fontId="0" fillId="0" borderId="1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14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170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left"/>
    </xf>
    <xf numFmtId="169" fontId="0" fillId="0" borderId="19" xfId="0" applyNumberFormat="1" applyBorder="1" applyAlignment="1">
      <alignment horizontal="center"/>
    </xf>
    <xf numFmtId="167" fontId="0" fillId="0" borderId="3" xfId="0" applyNumberFormat="1" applyBorder="1" applyAlignment="1">
      <alignment horizontal="right"/>
    </xf>
    <xf numFmtId="167" fontId="0" fillId="0" borderId="21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167" fontId="0" fillId="0" borderId="1" xfId="0" applyNumberFormat="1" applyBorder="1" applyAlignment="1">
      <alignment horizontal="right"/>
    </xf>
    <xf numFmtId="167" fontId="0" fillId="0" borderId="20" xfId="0" applyNumberFormat="1" applyBorder="1" applyAlignment="1">
      <alignment horizontal="right"/>
    </xf>
    <xf numFmtId="170" fontId="0" fillId="0" borderId="0" xfId="0" applyNumberFormat="1" applyAlignment="1">
      <alignment horizontal="right"/>
    </xf>
    <xf numFmtId="170" fontId="0" fillId="0" borderId="0" xfId="0" applyNumberFormat="1"/>
    <xf numFmtId="0" fontId="0" fillId="0" borderId="14" xfId="0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/>
    <xf numFmtId="0" fontId="5" fillId="0" borderId="2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13" xfId="0" applyFont="1" applyBorder="1"/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/>
    <xf numFmtId="168" fontId="0" fillId="0" borderId="6" xfId="0" applyNumberFormat="1" applyBorder="1" applyAlignment="1">
      <alignment horizontal="center"/>
    </xf>
    <xf numFmtId="0" fontId="0" fillId="0" borderId="36" xfId="0" applyBorder="1" applyAlignment="1">
      <alignment horizontal="right"/>
    </xf>
    <xf numFmtId="3" fontId="0" fillId="0" borderId="37" xfId="0" applyNumberFormat="1" applyBorder="1" applyAlignment="1">
      <alignment horizontal="center"/>
    </xf>
    <xf numFmtId="0" fontId="0" fillId="0" borderId="0" xfId="0" applyAlignment="1">
      <alignment horizontal="left"/>
    </xf>
    <xf numFmtId="0" fontId="5" fillId="0" borderId="10" xfId="0" applyFont="1" applyBorder="1"/>
    <xf numFmtId="0" fontId="5" fillId="0" borderId="12" xfId="0" applyFont="1" applyBorder="1"/>
    <xf numFmtId="0" fontId="0" fillId="0" borderId="38" xfId="0" applyBorder="1"/>
    <xf numFmtId="167" fontId="0" fillId="0" borderId="13" xfId="0" applyNumberFormat="1" applyBorder="1" applyAlignment="1">
      <alignment horizontal="center"/>
    </xf>
    <xf numFmtId="0" fontId="5" fillId="0" borderId="11" xfId="0" applyFont="1" applyBorder="1"/>
    <xf numFmtId="3" fontId="0" fillId="0" borderId="34" xfId="0" applyNumberFormat="1" applyBorder="1" applyAlignment="1">
      <alignment horizontal="center" vertical="center"/>
    </xf>
    <xf numFmtId="0" fontId="0" fillId="0" borderId="13" xfId="0" applyBorder="1"/>
    <xf numFmtId="171" fontId="0" fillId="0" borderId="13" xfId="1" applyNumberFormat="1" applyFont="1" applyBorder="1" applyAlignment="1">
      <alignment horizontal="center"/>
    </xf>
    <xf numFmtId="171" fontId="0" fillId="0" borderId="0" xfId="1" applyNumberFormat="1" applyFon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71" fontId="0" fillId="0" borderId="32" xfId="0" applyNumberFormat="1" applyBorder="1" applyAlignment="1">
      <alignment horizontal="center"/>
    </xf>
    <xf numFmtId="171" fontId="0" fillId="0" borderId="3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5" fillId="0" borderId="23" xfId="0" applyFont="1" applyBorder="1"/>
    <xf numFmtId="0" fontId="0" fillId="0" borderId="25" xfId="0" applyBorder="1"/>
    <xf numFmtId="0" fontId="0" fillId="0" borderId="31" xfId="0" applyBorder="1"/>
    <xf numFmtId="0" fontId="0" fillId="0" borderId="24" xfId="0" applyBorder="1"/>
    <xf numFmtId="0" fontId="0" fillId="0" borderId="40" xfId="0" applyBorder="1"/>
    <xf numFmtId="170" fontId="0" fillId="0" borderId="25" xfId="0" applyNumberFormat="1" applyBorder="1" applyAlignment="1">
      <alignment horizontal="center"/>
    </xf>
    <xf numFmtId="3" fontId="0" fillId="0" borderId="13" xfId="0" applyNumberFormat="1" applyBorder="1" applyAlignment="1">
      <alignment horizontal="center" vertical="center"/>
    </xf>
    <xf numFmtId="171" fontId="0" fillId="0" borderId="14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167" fontId="0" fillId="0" borderId="25" xfId="0" applyNumberForma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167" fontId="0" fillId="0" borderId="31" xfId="0" applyNumberFormat="1" applyBorder="1" applyAlignment="1">
      <alignment horizontal="center"/>
    </xf>
    <xf numFmtId="10" fontId="0" fillId="0" borderId="25" xfId="1" applyNumberFormat="1" applyFont="1" applyBorder="1" applyAlignment="1">
      <alignment horizontal="center"/>
    </xf>
    <xf numFmtId="3" fontId="0" fillId="2" borderId="38" xfId="0" applyNumberFormat="1" applyFill="1" applyBorder="1" applyAlignment="1">
      <alignment horizontal="center"/>
    </xf>
    <xf numFmtId="166" fontId="0" fillId="2" borderId="22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67" fontId="0" fillId="2" borderId="8" xfId="0" applyNumberFormat="1" applyFill="1" applyBorder="1" applyAlignment="1">
      <alignment horizontal="center"/>
    </xf>
    <xf numFmtId="167" fontId="0" fillId="0" borderId="32" xfId="0" applyNumberFormat="1" applyBorder="1" applyAlignment="1">
      <alignment horizontal="center"/>
    </xf>
    <xf numFmtId="167" fontId="0" fillId="0" borderId="38" xfId="0" applyNumberFormat="1" applyBorder="1"/>
    <xf numFmtId="167" fontId="0" fillId="0" borderId="3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0" fillId="0" borderId="30" xfId="0" applyBorder="1"/>
    <xf numFmtId="3" fontId="0" fillId="0" borderId="45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70" fontId="0" fillId="0" borderId="32" xfId="0" applyNumberFormat="1" applyBorder="1" applyAlignment="1">
      <alignment horizontal="center"/>
    </xf>
    <xf numFmtId="170" fontId="0" fillId="0" borderId="33" xfId="0" applyNumberFormat="1" applyBorder="1" applyAlignment="1">
      <alignment horizontal="center"/>
    </xf>
    <xf numFmtId="170" fontId="0" fillId="0" borderId="34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2" borderId="8" xfId="1" applyFont="1" applyFill="1" applyBorder="1" applyAlignment="1">
      <alignment horizontal="center"/>
    </xf>
    <xf numFmtId="171" fontId="0" fillId="2" borderId="0" xfId="1" applyNumberFormat="1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3" fontId="0" fillId="2" borderId="13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7" fontId="0" fillId="2" borderId="14" xfId="0" applyNumberFormat="1" applyFill="1" applyBorder="1" applyAlignment="1">
      <alignment horizontal="center"/>
    </xf>
    <xf numFmtId="170" fontId="0" fillId="0" borderId="18" xfId="0" applyNumberFormat="1" applyBorder="1" applyAlignment="1">
      <alignment horizontal="center"/>
    </xf>
    <xf numFmtId="0" fontId="0" fillId="2" borderId="25" xfId="0" applyFill="1" applyBorder="1" applyAlignment="1">
      <alignment horizontal="center"/>
    </xf>
    <xf numFmtId="166" fontId="0" fillId="2" borderId="14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1" fontId="0" fillId="2" borderId="0" xfId="1" applyNumberFormat="1" applyFont="1" applyFill="1" applyBorder="1" applyAlignment="1">
      <alignment horizontal="center"/>
    </xf>
    <xf numFmtId="3" fontId="0" fillId="2" borderId="13" xfId="0" applyNumberFormat="1" applyFill="1" applyBorder="1" applyAlignment="1">
      <alignment horizontal="center" vertical="center"/>
    </xf>
    <xf numFmtId="171" fontId="0" fillId="2" borderId="14" xfId="1" applyNumberFormat="1" applyFon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170" fontId="0" fillId="2" borderId="25" xfId="0" applyNumberFormat="1" applyFill="1" applyBorder="1" applyAlignment="1">
      <alignment horizontal="center"/>
    </xf>
    <xf numFmtId="171" fontId="0" fillId="2" borderId="13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ill="1" applyBorder="1" applyAlignment="1">
      <alignment horizontal="center"/>
    </xf>
    <xf numFmtId="167" fontId="0" fillId="2" borderId="25" xfId="0" applyNumberFormat="1" applyFill="1" applyBorder="1" applyAlignment="1">
      <alignment horizontal="center"/>
    </xf>
    <xf numFmtId="10" fontId="0" fillId="2" borderId="25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0" xfId="0" applyNumberFormat="1"/>
    <xf numFmtId="167" fontId="0" fillId="0" borderId="0" xfId="1" applyNumberFormat="1" applyFont="1" applyBorder="1" applyAlignment="1">
      <alignment horizontal="center"/>
    </xf>
    <xf numFmtId="9" fontId="0" fillId="0" borderId="0" xfId="1" applyFont="1" applyBorder="1"/>
    <xf numFmtId="170" fontId="0" fillId="0" borderId="6" xfId="0" applyNumberFormat="1" applyBorder="1" applyAlignment="1">
      <alignment horizontal="center"/>
    </xf>
    <xf numFmtId="0" fontId="1" fillId="0" borderId="40" xfId="0" applyFont="1" applyBorder="1" applyAlignment="1">
      <alignment horizontal="center"/>
    </xf>
    <xf numFmtId="167" fontId="0" fillId="0" borderId="8" xfId="0" applyNumberFormat="1" applyBorder="1" applyAlignment="1">
      <alignment horizontal="right"/>
    </xf>
    <xf numFmtId="0" fontId="0" fillId="0" borderId="38" xfId="0" applyBorder="1" applyAlignment="1">
      <alignment horizontal="right"/>
    </xf>
    <xf numFmtId="167" fontId="0" fillId="0" borderId="22" xfId="0" applyNumberFormat="1" applyBorder="1" applyAlignment="1">
      <alignment horizontal="right"/>
    </xf>
    <xf numFmtId="9" fontId="0" fillId="0" borderId="34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1" fontId="0" fillId="0" borderId="34" xfId="0" applyNumberFormat="1" applyBorder="1" applyAlignment="1">
      <alignment horizontal="center"/>
    </xf>
    <xf numFmtId="0" fontId="5" fillId="0" borderId="0" xfId="0" applyFont="1" applyAlignment="1">
      <alignment horizontal="center" wrapText="1"/>
    </xf>
    <xf numFmtId="167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165" fontId="0" fillId="0" borderId="31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70" fontId="0" fillId="0" borderId="29" xfId="0" applyNumberFormat="1" applyBorder="1" applyAlignment="1">
      <alignment horizontal="right"/>
    </xf>
    <xf numFmtId="0" fontId="0" fillId="0" borderId="30" xfId="0" applyBorder="1" applyAlignment="1">
      <alignment horizontal="center"/>
    </xf>
    <xf numFmtId="0" fontId="0" fillId="0" borderId="44" xfId="0" applyBorder="1" applyAlignment="1">
      <alignment horizontal="right"/>
    </xf>
    <xf numFmtId="14" fontId="0" fillId="0" borderId="44" xfId="0" applyNumberFormat="1" applyBorder="1" applyAlignment="1">
      <alignment horizontal="right"/>
    </xf>
    <xf numFmtId="0" fontId="0" fillId="0" borderId="51" xfId="0" applyBorder="1" applyAlignment="1">
      <alignment horizontal="right"/>
    </xf>
    <xf numFmtId="170" fontId="0" fillId="0" borderId="51" xfId="0" applyNumberFormat="1" applyBorder="1"/>
    <xf numFmtId="0" fontId="0" fillId="0" borderId="45" xfId="0" applyBorder="1"/>
    <xf numFmtId="0" fontId="0" fillId="2" borderId="0" xfId="0" applyFill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167" fontId="0" fillId="0" borderId="8" xfId="0" applyNumberFormat="1" applyBorder="1"/>
    <xf numFmtId="0" fontId="0" fillId="0" borderId="55" xfId="0" applyBorder="1" applyAlignment="1">
      <alignment horizontal="center"/>
    </xf>
    <xf numFmtId="14" fontId="0" fillId="0" borderId="44" xfId="0" applyNumberFormat="1" applyBorder="1"/>
    <xf numFmtId="0" fontId="5" fillId="0" borderId="29" xfId="0" applyFont="1" applyBorder="1" applyAlignment="1">
      <alignment horizontal="center" vertical="center" wrapText="1"/>
    </xf>
    <xf numFmtId="167" fontId="0" fillId="0" borderId="36" xfId="0" applyNumberFormat="1" applyBorder="1" applyAlignment="1">
      <alignment horizontal="right"/>
    </xf>
    <xf numFmtId="3" fontId="0" fillId="0" borderId="56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2" borderId="6" xfId="0" applyNumberFormat="1" applyFill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9" fontId="0" fillId="0" borderId="8" xfId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71" fontId="11" fillId="0" borderId="0" xfId="1" applyNumberFormat="1" applyFont="1" applyBorder="1" applyAlignment="1">
      <alignment horizontal="center"/>
    </xf>
    <xf numFmtId="171" fontId="11" fillId="0" borderId="0" xfId="1" applyNumberFormat="1" applyFont="1" applyFill="1" applyBorder="1" applyAlignment="1">
      <alignment horizontal="center"/>
    </xf>
    <xf numFmtId="167" fontId="0" fillId="0" borderId="29" xfId="0" applyNumberFormat="1" applyBorder="1" applyAlignment="1">
      <alignment horizontal="center" vertical="center"/>
    </xf>
    <xf numFmtId="167" fontId="0" fillId="0" borderId="29" xfId="0" applyNumberForma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167" fontId="0" fillId="0" borderId="25" xfId="1" applyNumberFormat="1" applyFon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3" fontId="5" fillId="0" borderId="57" xfId="0" applyNumberFormat="1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167" fontId="0" fillId="2" borderId="29" xfId="0" applyNumberFormat="1" applyFill="1" applyBorder="1" applyAlignment="1">
      <alignment horizontal="center" vertical="center"/>
    </xf>
    <xf numFmtId="170" fontId="0" fillId="3" borderId="21" xfId="0" applyNumberFormat="1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0" fillId="3" borderId="30" xfId="0" applyFill="1" applyBorder="1" applyAlignment="1">
      <alignment horizontal="right"/>
    </xf>
    <xf numFmtId="0" fontId="0" fillId="3" borderId="35" xfId="0" applyFill="1" applyBorder="1" applyAlignment="1">
      <alignment horizontal="right"/>
    </xf>
    <xf numFmtId="0" fontId="0" fillId="3" borderId="36" xfId="0" applyFill="1" applyBorder="1" applyAlignment="1">
      <alignment horizontal="right"/>
    </xf>
    <xf numFmtId="0" fontId="0" fillId="3" borderId="30" xfId="0" applyFill="1" applyBorder="1"/>
    <xf numFmtId="0" fontId="0" fillId="3" borderId="29" xfId="0" applyFill="1" applyBorder="1"/>
    <xf numFmtId="0" fontId="0" fillId="3" borderId="44" xfId="0" applyFill="1" applyBorder="1"/>
    <xf numFmtId="0" fontId="0" fillId="3" borderId="36" xfId="0" applyFill="1" applyBorder="1"/>
    <xf numFmtId="0" fontId="0" fillId="3" borderId="3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170" fontId="0" fillId="3" borderId="9" xfId="0" applyNumberFormat="1" applyFill="1" applyBorder="1" applyAlignment="1">
      <alignment horizontal="center"/>
    </xf>
    <xf numFmtId="170" fontId="0" fillId="3" borderId="33" xfId="0" applyNumberFormat="1" applyFill="1" applyBorder="1" applyAlignment="1">
      <alignment horizontal="center"/>
    </xf>
    <xf numFmtId="0" fontId="0" fillId="3" borderId="33" xfId="0" applyFill="1" applyBorder="1"/>
    <xf numFmtId="170" fontId="0" fillId="0" borderId="19" xfId="0" applyNumberFormat="1" applyBorder="1" applyAlignment="1">
      <alignment horizontal="center"/>
    </xf>
    <xf numFmtId="167" fontId="0" fillId="3" borderId="33" xfId="0" applyNumberFormat="1" applyFill="1" applyBorder="1" applyAlignment="1">
      <alignment horizontal="center"/>
    </xf>
    <xf numFmtId="3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4" fontId="0" fillId="0" borderId="0" xfId="0" applyNumberFormat="1"/>
    <xf numFmtId="0" fontId="6" fillId="0" borderId="48" xfId="0" applyFont="1" applyBorder="1" applyAlignment="1">
      <alignment horizontal="center" vertical="center"/>
    </xf>
    <xf numFmtId="171" fontId="0" fillId="0" borderId="0" xfId="1" applyNumberFormat="1" applyFont="1" applyBorder="1" applyAlignment="1">
      <alignment horizontal="center" vertical="center"/>
    </xf>
    <xf numFmtId="171" fontId="0" fillId="2" borderId="0" xfId="1" applyNumberFormat="1" applyFont="1" applyFill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70" fontId="0" fillId="0" borderId="29" xfId="0" applyNumberFormat="1" applyBorder="1"/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3" fontId="0" fillId="0" borderId="19" xfId="0" applyNumberForma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5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54">
    <dxf>
      <font>
        <color rgb="FF00B050"/>
      </font>
    </dxf>
    <dxf>
      <font>
        <color theme="5"/>
      </font>
    </dxf>
    <dxf>
      <font>
        <color rgb="FF00B050"/>
      </font>
    </dxf>
    <dxf>
      <font>
        <color theme="5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Energisammanställning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Sammanställning!$E$5</c:f>
              <c:strCache>
                <c:ptCount val="1"/>
                <c:pt idx="0">
                  <c:v>El MWh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Sammanställning!$A$6:$A$25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Sammanställning!$E$6:$E$25</c:f>
              <c:numCache>
                <c:formatCode>#,##0</c:formatCode>
                <c:ptCount val="20"/>
                <c:pt idx="0">
                  <c:v>6957.2</c:v>
                </c:pt>
                <c:pt idx="1">
                  <c:v>6664.7</c:v>
                </c:pt>
                <c:pt idx="2">
                  <c:v>6961.1</c:v>
                </c:pt>
                <c:pt idx="3">
                  <c:v>7311</c:v>
                </c:pt>
                <c:pt idx="4">
                  <c:v>8874.5</c:v>
                </c:pt>
                <c:pt idx="5">
                  <c:v>9261.7000000000007</c:v>
                </c:pt>
                <c:pt idx="6">
                  <c:v>9413.5</c:v>
                </c:pt>
                <c:pt idx="7">
                  <c:v>7947.3</c:v>
                </c:pt>
                <c:pt idx="8">
                  <c:v>6919</c:v>
                </c:pt>
                <c:pt idx="9">
                  <c:v>6387</c:v>
                </c:pt>
                <c:pt idx="10">
                  <c:v>5987.1</c:v>
                </c:pt>
                <c:pt idx="11">
                  <c:v>6187</c:v>
                </c:pt>
                <c:pt idx="12">
                  <c:v>6025</c:v>
                </c:pt>
                <c:pt idx="13">
                  <c:v>6168</c:v>
                </c:pt>
                <c:pt idx="14">
                  <c:v>6091</c:v>
                </c:pt>
                <c:pt idx="15">
                  <c:v>5945</c:v>
                </c:pt>
                <c:pt idx="16">
                  <c:v>5960</c:v>
                </c:pt>
                <c:pt idx="17">
                  <c:v>5536</c:v>
                </c:pt>
                <c:pt idx="18">
                  <c:v>5657.9</c:v>
                </c:pt>
                <c:pt idx="19">
                  <c:v>5537.2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D-42F8-BEA4-866BF8A4436B}"/>
            </c:ext>
          </c:extLst>
        </c:ser>
        <c:ser>
          <c:idx val="2"/>
          <c:order val="1"/>
          <c:tx>
            <c:strRef>
              <c:f>Sammanställning!$N$5</c:f>
              <c:strCache>
                <c:ptCount val="1"/>
                <c:pt idx="0">
                  <c:v>Fjärrvärme MWh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Sammanställning!$A$6:$A$25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Sammanställning!$N$6:$N$25</c:f>
              <c:numCache>
                <c:formatCode>#,##0</c:formatCode>
                <c:ptCount val="20"/>
                <c:pt idx="0">
                  <c:v>7887.0999999999995</c:v>
                </c:pt>
                <c:pt idx="1">
                  <c:v>7924</c:v>
                </c:pt>
                <c:pt idx="2">
                  <c:v>8242</c:v>
                </c:pt>
                <c:pt idx="3">
                  <c:v>8940</c:v>
                </c:pt>
                <c:pt idx="4">
                  <c:v>7008</c:v>
                </c:pt>
                <c:pt idx="5">
                  <c:v>6372</c:v>
                </c:pt>
                <c:pt idx="6">
                  <c:v>7190</c:v>
                </c:pt>
                <c:pt idx="7">
                  <c:v>9234</c:v>
                </c:pt>
                <c:pt idx="8">
                  <c:v>6953</c:v>
                </c:pt>
                <c:pt idx="9">
                  <c:v>7327</c:v>
                </c:pt>
                <c:pt idx="10">
                  <c:v>7463</c:v>
                </c:pt>
                <c:pt idx="11">
                  <c:v>7227</c:v>
                </c:pt>
                <c:pt idx="12">
                  <c:v>7952</c:v>
                </c:pt>
                <c:pt idx="13">
                  <c:v>8124</c:v>
                </c:pt>
                <c:pt idx="14">
                  <c:v>7224</c:v>
                </c:pt>
                <c:pt idx="15">
                  <c:v>7470</c:v>
                </c:pt>
                <c:pt idx="16">
                  <c:v>7571.6</c:v>
                </c:pt>
                <c:pt idx="17">
                  <c:v>7036</c:v>
                </c:pt>
                <c:pt idx="18">
                  <c:v>8026</c:v>
                </c:pt>
                <c:pt idx="19">
                  <c:v>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D-42F8-BEA4-866BF8A4436B}"/>
            </c:ext>
          </c:extLst>
        </c:ser>
        <c:ser>
          <c:idx val="1"/>
          <c:order val="2"/>
          <c:tx>
            <c:strRef>
              <c:f>Sammanställning!$J$5</c:f>
              <c:strCache>
                <c:ptCount val="1"/>
                <c:pt idx="0">
                  <c:v>Fjärrkyla MWh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Sammanställning!$A$6:$A$25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Sammanställning!$J$6:$J$25</c:f>
              <c:numCache>
                <c:formatCode>#,##0</c:formatCode>
                <c:ptCount val="20"/>
                <c:pt idx="0">
                  <c:v>1961</c:v>
                </c:pt>
                <c:pt idx="1">
                  <c:v>2811</c:v>
                </c:pt>
                <c:pt idx="2">
                  <c:v>4479</c:v>
                </c:pt>
                <c:pt idx="3">
                  <c:v>4069</c:v>
                </c:pt>
                <c:pt idx="4">
                  <c:v>2640.7000000000003</c:v>
                </c:pt>
                <c:pt idx="5">
                  <c:v>2803.1</c:v>
                </c:pt>
                <c:pt idx="6">
                  <c:v>2681.6</c:v>
                </c:pt>
                <c:pt idx="7">
                  <c:v>2603.8000000000002</c:v>
                </c:pt>
                <c:pt idx="8">
                  <c:v>2424.4</c:v>
                </c:pt>
                <c:pt idx="9">
                  <c:v>2477.4</c:v>
                </c:pt>
                <c:pt idx="10">
                  <c:v>2195.5</c:v>
                </c:pt>
                <c:pt idx="11">
                  <c:v>2462.6</c:v>
                </c:pt>
                <c:pt idx="12">
                  <c:v>2513.5</c:v>
                </c:pt>
                <c:pt idx="13">
                  <c:v>2528.4</c:v>
                </c:pt>
                <c:pt idx="14">
                  <c:v>2264</c:v>
                </c:pt>
                <c:pt idx="15">
                  <c:v>2475</c:v>
                </c:pt>
                <c:pt idx="16">
                  <c:v>2151.5</c:v>
                </c:pt>
                <c:pt idx="17">
                  <c:v>2065.5</c:v>
                </c:pt>
                <c:pt idx="18">
                  <c:v>2072.6</c:v>
                </c:pt>
                <c:pt idx="19">
                  <c:v>1990.14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D-42F8-BEA4-866BF8A44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2749472"/>
        <c:axId val="382745160"/>
      </c:barChart>
      <c:lineChart>
        <c:grouping val="standard"/>
        <c:varyColors val="0"/>
        <c:ser>
          <c:idx val="3"/>
          <c:order val="3"/>
          <c:tx>
            <c:v>Graddagskorrigering</c:v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Sammanställning!$T$6:$T$25</c:f>
              <c:numCache>
                <c:formatCode>#,##0</c:formatCode>
                <c:ptCount val="20"/>
                <c:pt idx="4">
                  <c:v>19309.418902439025</c:v>
                </c:pt>
                <c:pt idx="5">
                  <c:v>18900.6875</c:v>
                </c:pt>
                <c:pt idx="6">
                  <c:v>19576.842386831275</c:v>
                </c:pt>
                <c:pt idx="7">
                  <c:v>17904.927419354837</c:v>
                </c:pt>
                <c:pt idx="8">
                  <c:v>15727.031021194605</c:v>
                </c:pt>
                <c:pt idx="9">
                  <c:v>15631.062586805556</c:v>
                </c:pt>
                <c:pt idx="10">
                  <c:v>14861.937287302057</c:v>
                </c:pt>
                <c:pt idx="11">
                  <c:v>16474.177946065756</c:v>
                </c:pt>
                <c:pt idx="12">
                  <c:v>17134.352015732547</c:v>
                </c:pt>
                <c:pt idx="13">
                  <c:v>16867.996542372879</c:v>
                </c:pt>
                <c:pt idx="14">
                  <c:v>15710.62022008253</c:v>
                </c:pt>
                <c:pt idx="15">
                  <c:v>15816.750083194676</c:v>
                </c:pt>
                <c:pt idx="16">
                  <c:v>16069.741601237212</c:v>
                </c:pt>
                <c:pt idx="17">
                  <c:v>15360.437937106919</c:v>
                </c:pt>
                <c:pt idx="18">
                  <c:v>16223.576630695445</c:v>
                </c:pt>
                <c:pt idx="19">
                  <c:v>14980.115641025641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2-495D-8BEE-9AB4E2B7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28472"/>
        <c:axId val="980726832"/>
      </c:lineChart>
      <c:catAx>
        <c:axId val="38274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2745160"/>
        <c:crosses val="autoZero"/>
        <c:auto val="1"/>
        <c:lblAlgn val="ctr"/>
        <c:lblOffset val="100"/>
        <c:noMultiLvlLbl val="0"/>
      </c:catAx>
      <c:valAx>
        <c:axId val="38274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2749472"/>
        <c:crosses val="autoZero"/>
        <c:crossBetween val="between"/>
      </c:valAx>
      <c:valAx>
        <c:axId val="9807268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80728472"/>
        <c:crosses val="max"/>
        <c:crossBetween val="between"/>
      </c:valAx>
      <c:catAx>
        <c:axId val="980728472"/>
        <c:scaling>
          <c:orientation val="minMax"/>
        </c:scaling>
        <c:delete val="1"/>
        <c:axPos val="b"/>
        <c:majorTickMark val="out"/>
        <c:minorTickMark val="none"/>
        <c:tickLblPos val="nextTo"/>
        <c:crossAx val="980726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Fjärrvärme  sammanställning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VÄRME!$K$3</c:f>
              <c:strCache>
                <c:ptCount val="1"/>
                <c:pt idx="0">
                  <c:v>Hus A+B+C+D+E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VÄRME!$K$5:$K$24</c:f>
              <c:numCache>
                <c:formatCode>#,##0</c:formatCode>
                <c:ptCount val="20"/>
                <c:pt idx="0">
                  <c:v>2567</c:v>
                </c:pt>
                <c:pt idx="1">
                  <c:v>4026</c:v>
                </c:pt>
                <c:pt idx="2">
                  <c:v>3963</c:v>
                </c:pt>
                <c:pt idx="3">
                  <c:v>5377</c:v>
                </c:pt>
                <c:pt idx="4">
                  <c:v>3767</c:v>
                </c:pt>
                <c:pt idx="5">
                  <c:v>3234</c:v>
                </c:pt>
                <c:pt idx="6">
                  <c:v>3777</c:v>
                </c:pt>
                <c:pt idx="7">
                  <c:v>4964</c:v>
                </c:pt>
                <c:pt idx="8">
                  <c:v>3560</c:v>
                </c:pt>
                <c:pt idx="9">
                  <c:v>3492</c:v>
                </c:pt>
                <c:pt idx="10">
                  <c:v>3550</c:v>
                </c:pt>
                <c:pt idx="11">
                  <c:v>3381</c:v>
                </c:pt>
                <c:pt idx="12">
                  <c:v>3793</c:v>
                </c:pt>
                <c:pt idx="13">
                  <c:v>3994</c:v>
                </c:pt>
                <c:pt idx="14">
                  <c:v>3586</c:v>
                </c:pt>
                <c:pt idx="15">
                  <c:v>3599</c:v>
                </c:pt>
                <c:pt idx="16">
                  <c:v>3425.6</c:v>
                </c:pt>
                <c:pt idx="17">
                  <c:v>3169</c:v>
                </c:pt>
                <c:pt idx="18">
                  <c:v>3671</c:v>
                </c:pt>
                <c:pt idx="19">
                  <c:v>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7-42A2-86DA-BB2085A000B4}"/>
            </c:ext>
          </c:extLst>
        </c:ser>
        <c:ser>
          <c:idx val="2"/>
          <c:order val="1"/>
          <c:tx>
            <c:strRef>
              <c:f>VÄRME!$P$3</c:f>
              <c:strCache>
                <c:ptCount val="1"/>
                <c:pt idx="0">
                  <c:v>Hus 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VÄRME!$P$5:$P$24</c:f>
              <c:numCache>
                <c:formatCode>#,##0</c:formatCode>
                <c:ptCount val="20"/>
                <c:pt idx="0">
                  <c:v>1367.1999999999998</c:v>
                </c:pt>
                <c:pt idx="1">
                  <c:v>1268</c:v>
                </c:pt>
                <c:pt idx="2">
                  <c:v>1415</c:v>
                </c:pt>
                <c:pt idx="3">
                  <c:v>1444</c:v>
                </c:pt>
                <c:pt idx="4">
                  <c:v>1333</c:v>
                </c:pt>
                <c:pt idx="5">
                  <c:v>1310</c:v>
                </c:pt>
                <c:pt idx="6">
                  <c:v>1527</c:v>
                </c:pt>
                <c:pt idx="7">
                  <c:v>1774</c:v>
                </c:pt>
                <c:pt idx="8">
                  <c:v>1437</c:v>
                </c:pt>
                <c:pt idx="9">
                  <c:v>1654</c:v>
                </c:pt>
                <c:pt idx="10">
                  <c:v>1679</c:v>
                </c:pt>
                <c:pt idx="11">
                  <c:v>1630</c:v>
                </c:pt>
                <c:pt idx="12">
                  <c:v>1787</c:v>
                </c:pt>
                <c:pt idx="13">
                  <c:v>1624</c:v>
                </c:pt>
                <c:pt idx="14">
                  <c:v>1310</c:v>
                </c:pt>
                <c:pt idx="15">
                  <c:v>1383</c:v>
                </c:pt>
                <c:pt idx="16">
                  <c:v>1447</c:v>
                </c:pt>
                <c:pt idx="17">
                  <c:v>1273</c:v>
                </c:pt>
                <c:pt idx="18">
                  <c:v>1419</c:v>
                </c:pt>
                <c:pt idx="19">
                  <c:v>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7-42A2-86DA-BB2085A000B4}"/>
            </c:ext>
          </c:extLst>
        </c:ser>
        <c:ser>
          <c:idx val="3"/>
          <c:order val="2"/>
          <c:tx>
            <c:strRef>
              <c:f>VÄRME!$U$3</c:f>
              <c:strCache>
                <c:ptCount val="1"/>
                <c:pt idx="0">
                  <c:v>Hus F+G+I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VÄRME!$U$5:$U$24</c:f>
              <c:numCache>
                <c:formatCode>#,##0</c:formatCode>
                <c:ptCount val="20"/>
                <c:pt idx="0">
                  <c:v>3952.8999999999996</c:v>
                </c:pt>
                <c:pt idx="1">
                  <c:v>2630</c:v>
                </c:pt>
                <c:pt idx="2">
                  <c:v>2864</c:v>
                </c:pt>
                <c:pt idx="3">
                  <c:v>2119</c:v>
                </c:pt>
                <c:pt idx="4">
                  <c:v>1908</c:v>
                </c:pt>
                <c:pt idx="5">
                  <c:v>1828</c:v>
                </c:pt>
                <c:pt idx="6">
                  <c:v>1886</c:v>
                </c:pt>
                <c:pt idx="7">
                  <c:v>2496</c:v>
                </c:pt>
                <c:pt idx="8">
                  <c:v>1956</c:v>
                </c:pt>
                <c:pt idx="9">
                  <c:v>2181</c:v>
                </c:pt>
                <c:pt idx="10">
                  <c:v>2130.1</c:v>
                </c:pt>
                <c:pt idx="11">
                  <c:v>1959.7</c:v>
                </c:pt>
                <c:pt idx="12">
                  <c:v>2067.1999999999998</c:v>
                </c:pt>
                <c:pt idx="13">
                  <c:v>2164.9</c:v>
                </c:pt>
                <c:pt idx="14">
                  <c:v>1987.4</c:v>
                </c:pt>
                <c:pt idx="15">
                  <c:v>2121</c:v>
                </c:pt>
                <c:pt idx="16">
                  <c:v>2045</c:v>
                </c:pt>
                <c:pt idx="17">
                  <c:v>2034.8</c:v>
                </c:pt>
                <c:pt idx="18">
                  <c:v>2236.8000000000002</c:v>
                </c:pt>
                <c:pt idx="19">
                  <c:v>1959.7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7-42A2-86DA-BB2085A000B4}"/>
            </c:ext>
          </c:extLst>
        </c:ser>
        <c:ser>
          <c:idx val="0"/>
          <c:order val="3"/>
          <c:tx>
            <c:strRef>
              <c:f>VÄRME!$Z$3</c:f>
              <c:strCache>
                <c:ptCount val="1"/>
                <c:pt idx="0">
                  <c:v>Hus J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VÄRME!$Z$5:$Z$24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103.9</c:v>
                </c:pt>
                <c:pt idx="11" formatCode="0.0">
                  <c:v>256.3</c:v>
                </c:pt>
                <c:pt idx="12" formatCode="0.0">
                  <c:v>304.8</c:v>
                </c:pt>
                <c:pt idx="13" formatCode="0.0">
                  <c:v>341.1</c:v>
                </c:pt>
                <c:pt idx="14" formatCode="0.0">
                  <c:v>340.6</c:v>
                </c:pt>
                <c:pt idx="15" formatCode="0.0">
                  <c:v>367</c:v>
                </c:pt>
                <c:pt idx="16" formatCode="0.0">
                  <c:v>340</c:v>
                </c:pt>
                <c:pt idx="17" formatCode="0.0">
                  <c:v>325.2</c:v>
                </c:pt>
                <c:pt idx="18" formatCode="0.0">
                  <c:v>354.2</c:v>
                </c:pt>
                <c:pt idx="19" formatCode="0.0">
                  <c:v>267.3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7-42A2-86DA-BB2085A000B4}"/>
            </c:ext>
          </c:extLst>
        </c:ser>
        <c:ser>
          <c:idx val="4"/>
          <c:order val="4"/>
          <c:tx>
            <c:strRef>
              <c:f>VÄRME!$AF$3</c:f>
              <c:strCache>
                <c:ptCount val="1"/>
                <c:pt idx="0">
                  <c:v>Hus 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VÄRME!$AF$5:$AF$24</c:f>
              <c:numCache>
                <c:formatCode>General</c:formatCode>
                <c:ptCount val="20"/>
                <c:pt idx="16" formatCode="0">
                  <c:v>314</c:v>
                </c:pt>
                <c:pt idx="17" formatCode="0">
                  <c:v>234</c:v>
                </c:pt>
                <c:pt idx="18" formatCode="0">
                  <c:v>345</c:v>
                </c:pt>
                <c:pt idx="19" formatCode="0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C-43DD-8488-665472730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039064"/>
        <c:axId val="455041808"/>
      </c:barChart>
      <c:catAx>
        <c:axId val="4550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41808"/>
        <c:crosses val="autoZero"/>
        <c:auto val="1"/>
        <c:lblAlgn val="ctr"/>
        <c:lblOffset val="100"/>
        <c:noMultiLvlLbl val="0"/>
      </c:catAx>
      <c:valAx>
        <c:axId val="45504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kWh/m²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VÄRME!$K$3</c:f>
              <c:strCache>
                <c:ptCount val="1"/>
                <c:pt idx="0">
                  <c:v>Hus A+B+C+D+E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VÄRME!$N$5:$N$24</c:f>
              <c:numCache>
                <c:formatCode>0.0</c:formatCode>
                <c:ptCount val="20"/>
                <c:pt idx="0">
                  <c:v>62.594489148988053</c:v>
                </c:pt>
                <c:pt idx="1">
                  <c:v>98.171177761521591</c:v>
                </c:pt>
                <c:pt idx="2">
                  <c:v>96.634967081199719</c:v>
                </c:pt>
                <c:pt idx="3">
                  <c:v>131.11436235064619</c:v>
                </c:pt>
                <c:pt idx="4">
                  <c:v>91.855644964642778</c:v>
                </c:pt>
                <c:pt idx="5">
                  <c:v>78.85881492318947</c:v>
                </c:pt>
                <c:pt idx="6">
                  <c:v>92.099487929773233</c:v>
                </c:pt>
                <c:pt idx="7">
                  <c:v>121.04364789075835</c:v>
                </c:pt>
                <c:pt idx="8">
                  <c:v>86.808095586442334</c:v>
                </c:pt>
                <c:pt idx="9">
                  <c:v>85.149963423555235</c:v>
                </c:pt>
                <c:pt idx="10">
                  <c:v>86.56425262131188</c:v>
                </c:pt>
                <c:pt idx="11">
                  <c:v>82.443306510607172</c:v>
                </c:pt>
                <c:pt idx="12">
                  <c:v>92.489636673981963</c:v>
                </c:pt>
                <c:pt idx="13">
                  <c:v>97.390880273104131</c:v>
                </c:pt>
                <c:pt idx="14">
                  <c:v>87.442087295781519</c:v>
                </c:pt>
                <c:pt idx="15">
                  <c:v>87.759083150451119</c:v>
                </c:pt>
                <c:pt idx="16">
                  <c:v>83.530846135089007</c:v>
                </c:pt>
                <c:pt idx="17">
                  <c:v>77.273835649841502</c:v>
                </c:pt>
                <c:pt idx="18">
                  <c:v>89.514752499390397</c:v>
                </c:pt>
                <c:pt idx="19">
                  <c:v>81.370397464033161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4-4FCE-B22B-640C189B053E}"/>
            </c:ext>
          </c:extLst>
        </c:ser>
        <c:ser>
          <c:idx val="1"/>
          <c:order val="1"/>
          <c:tx>
            <c:strRef>
              <c:f>VÄRME!$P$3</c:f>
              <c:strCache>
                <c:ptCount val="1"/>
                <c:pt idx="0">
                  <c:v>Hus 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VÄRME!$S$5:$S$24</c:f>
              <c:numCache>
                <c:formatCode>0.0</c:formatCode>
                <c:ptCount val="20"/>
                <c:pt idx="0">
                  <c:v>72.373087713726107</c:v>
                </c:pt>
                <c:pt idx="1">
                  <c:v>67.121909904187191</c:v>
                </c:pt>
                <c:pt idx="2">
                  <c:v>74.903393150177337</c:v>
                </c:pt>
                <c:pt idx="3">
                  <c:v>76.438515695304645</c:v>
                </c:pt>
                <c:pt idx="4">
                  <c:v>70.562701815679432</c:v>
                </c:pt>
                <c:pt idx="5">
                  <c:v>69.345190831612939</c:v>
                </c:pt>
                <c:pt idx="6">
                  <c:v>80.832142289979359</c:v>
                </c:pt>
                <c:pt idx="7">
                  <c:v>93.907151553649896</c:v>
                </c:pt>
                <c:pt idx="8">
                  <c:v>76.06796887406702</c:v>
                </c:pt>
                <c:pt idx="9">
                  <c:v>87.55492033243344</c:v>
                </c:pt>
                <c:pt idx="10">
                  <c:v>88.878301836853538</c:v>
                </c:pt>
                <c:pt idx="11">
                  <c:v>86.284474088190152</c:v>
                </c:pt>
                <c:pt idx="12">
                  <c:v>94.59530993594835</c:v>
                </c:pt>
                <c:pt idx="13">
                  <c:v>85.966862527129322</c:v>
                </c:pt>
                <c:pt idx="14">
                  <c:v>69.345190831612939</c:v>
                </c:pt>
                <c:pt idx="15">
                  <c:v>73.209464824519614</c:v>
                </c:pt>
                <c:pt idx="16">
                  <c:v>76.597321475835059</c:v>
                </c:pt>
                <c:pt idx="17">
                  <c:v>67.386586205071211</c:v>
                </c:pt>
                <c:pt idx="18">
                  <c:v>75.115134190884561</c:v>
                </c:pt>
                <c:pt idx="19">
                  <c:v>70.668572336033037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B4-4FCE-B22B-640C189B053E}"/>
            </c:ext>
          </c:extLst>
        </c:ser>
        <c:ser>
          <c:idx val="2"/>
          <c:order val="2"/>
          <c:tx>
            <c:strRef>
              <c:f>VÄRME!$U$3</c:f>
              <c:strCache>
                <c:ptCount val="1"/>
                <c:pt idx="0">
                  <c:v>Hus F+G+I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VÄRME!$X$5:$X$24</c:f>
              <c:numCache>
                <c:formatCode>0.0</c:formatCode>
                <c:ptCount val="20"/>
                <c:pt idx="0">
                  <c:v>208.69542262816111</c:v>
                </c:pt>
                <c:pt idx="1">
                  <c:v>138.85222533129192</c:v>
                </c:pt>
                <c:pt idx="2">
                  <c:v>151.20637769917113</c:v>
                </c:pt>
                <c:pt idx="3">
                  <c:v>111.87371310912835</c:v>
                </c:pt>
                <c:pt idx="4">
                  <c:v>100.7338577688612</c:v>
                </c:pt>
                <c:pt idx="5">
                  <c:v>96.510215933688826</c:v>
                </c:pt>
                <c:pt idx="6">
                  <c:v>99.572356264188798</c:v>
                </c:pt>
                <c:pt idx="7">
                  <c:v>131.77762525737819</c:v>
                </c:pt>
                <c:pt idx="8">
                  <c:v>103.26804286996463</c:v>
                </c:pt>
                <c:pt idx="9">
                  <c:v>115.14703553138695</c:v>
                </c:pt>
                <c:pt idx="10">
                  <c:v>112.45974341375852</c:v>
                </c:pt>
                <c:pt idx="11">
                  <c:v>103.46338630484136</c:v>
                </c:pt>
                <c:pt idx="12">
                  <c:v>109.13890502085422</c:v>
                </c:pt>
                <c:pt idx="13">
                  <c:v>114.29702761205851</c:v>
                </c:pt>
                <c:pt idx="14">
                  <c:v>104.92582229026979</c:v>
                </c:pt>
                <c:pt idx="15">
                  <c:v>111.97930415500767</c:v>
                </c:pt>
                <c:pt idx="16">
                  <c:v>107.9668444115939</c:v>
                </c:pt>
                <c:pt idx="17">
                  <c:v>107.42833007760942</c:v>
                </c:pt>
                <c:pt idx="18">
                  <c:v>118.09302571141968</c:v>
                </c:pt>
                <c:pt idx="19">
                  <c:v>103.46338630484136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B4-4FCE-B22B-640C189B053E}"/>
            </c:ext>
          </c:extLst>
        </c:ser>
        <c:ser>
          <c:idx val="3"/>
          <c:order val="3"/>
          <c:tx>
            <c:strRef>
              <c:f>VÄRME!$Z$3</c:f>
              <c:strCache>
                <c:ptCount val="1"/>
                <c:pt idx="0">
                  <c:v>Hus J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VÄRME!$AD$5:$AD$24</c:f>
              <c:numCache>
                <c:formatCode>0</c:formatCode>
                <c:ptCount val="20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55.052889552477893</c:v>
                </c:pt>
                <c:pt idx="11" formatCode="0.0">
                  <c:v>57.499511506777459</c:v>
                </c:pt>
                <c:pt idx="12" formatCode="0.0">
                  <c:v>68.271619313771168</c:v>
                </c:pt>
                <c:pt idx="13" formatCode="0.0">
                  <c:v>71.093746795254532</c:v>
                </c:pt>
                <c:pt idx="14" formatCode="0.0">
                  <c:v>71.861931625899985</c:v>
                </c:pt>
                <c:pt idx="15" formatCode="0.0">
                  <c:v>75.300713297517916</c:v>
                </c:pt>
                <c:pt idx="16" formatCode="0.0">
                  <c:v>74.049316894105701</c:v>
                </c:pt>
                <c:pt idx="17" formatCode="0.0">
                  <c:v>74.308700513726762</c:v>
                </c:pt>
                <c:pt idx="18" formatCode="0.0">
                  <c:v>77.665318304825689</c:v>
                </c:pt>
                <c:pt idx="19" formatCode="0.0">
                  <c:v>56.330580648889047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B4-4FCE-B22B-640C189B053E}"/>
            </c:ext>
          </c:extLst>
        </c:ser>
        <c:ser>
          <c:idx val="4"/>
          <c:order val="4"/>
          <c:tx>
            <c:strRef>
              <c:f>VÄRME!$AF$3</c:f>
              <c:strCache>
                <c:ptCount val="1"/>
                <c:pt idx="0">
                  <c:v>Hus 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VÄRME!$AI$5:$AI$24</c:f>
              <c:numCache>
                <c:formatCode>General</c:formatCode>
                <c:ptCount val="20"/>
                <c:pt idx="16" formatCode="0.0">
                  <c:v>65.064235391628685</c:v>
                </c:pt>
                <c:pt idx="17" formatCode="0.0">
                  <c:v>48.487360132615002</c:v>
                </c:pt>
                <c:pt idx="18" formatCode="0.0">
                  <c:v>71.487774554496482</c:v>
                </c:pt>
                <c:pt idx="19" formatCode="0.0">
                  <c:v>88.893493576460841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A-47C1-BC7E-334472284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5042200"/>
        <c:axId val="455041024"/>
      </c:barChart>
      <c:catAx>
        <c:axId val="45504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41024"/>
        <c:crosses val="autoZero"/>
        <c:auto val="1"/>
        <c:lblAlgn val="ctr"/>
        <c:lblOffset val="100"/>
        <c:noMultiLvlLbl val="0"/>
      </c:catAx>
      <c:valAx>
        <c:axId val="4550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4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Graddag JU. Graddagskorrigerad</a:t>
            </a:r>
            <a:r>
              <a:rPr lang="sv-SE" baseline="0"/>
              <a:t> fjärrvärmeförbrukning  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VÄRME!$K$3</c:f>
              <c:strCache>
                <c:ptCount val="1"/>
                <c:pt idx="0">
                  <c:v>Hus A+B+C+D+E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VÄRME!$A$9:$A$24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VÄRME!$F$70:$F$85</c:f>
              <c:numCache>
                <c:formatCode>0.0</c:formatCode>
                <c:ptCount val="16"/>
                <c:pt idx="0">
                  <c:v>4189.6150978150408</c:v>
                </c:pt>
                <c:pt idx="1">
                  <c:v>3469.4381944444449</c:v>
                </c:pt>
                <c:pt idx="2">
                  <c:v>3930.2560493827159</c:v>
                </c:pt>
                <c:pt idx="3">
                  <c:v>3953.2596176821985</c:v>
                </c:pt>
                <c:pt idx="4">
                  <c:v>3268.4778420038533</c:v>
                </c:pt>
                <c:pt idx="5">
                  <c:v>3224.9468750000005</c:v>
                </c:pt>
                <c:pt idx="6">
                  <c:v>3177.2273040228192</c:v>
                </c:pt>
                <c:pt idx="7">
                  <c:v>3660.5642777983007</c:v>
                </c:pt>
                <c:pt idx="8">
                  <c:v>4100.1089909046223</c:v>
                </c:pt>
                <c:pt idx="9">
                  <c:v>4017.399875706215</c:v>
                </c:pt>
                <c:pt idx="10">
                  <c:v>3651.3363938560292</c:v>
                </c:pt>
                <c:pt idx="11">
                  <c:v>3563.7086411536334</c:v>
                </c:pt>
                <c:pt idx="12">
                  <c:v>3600.5272900309301</c:v>
                </c:pt>
                <c:pt idx="13">
                  <c:v>3494.609767295598</c:v>
                </c:pt>
                <c:pt idx="14">
                  <c:v>3884.6354736211033</c:v>
                </c:pt>
                <c:pt idx="15">
                  <c:v>3393.8199118589746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A-4B14-97EC-E058F3E2C3B7}"/>
            </c:ext>
          </c:extLst>
        </c:ser>
        <c:ser>
          <c:idx val="1"/>
          <c:order val="1"/>
          <c:tx>
            <c:strRef>
              <c:f>VÄRME!$P$3</c:f>
              <c:strCache>
                <c:ptCount val="1"/>
                <c:pt idx="0">
                  <c:v>Hus 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VÄRME!$A$9:$A$24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VÄRME!$I$70:$I$85</c:f>
              <c:numCache>
                <c:formatCode>0.0</c:formatCode>
                <c:ptCount val="16"/>
                <c:pt idx="0">
                  <c:v>1482.5476308434959</c:v>
                </c:pt>
                <c:pt idx="1">
                  <c:v>1405.369212962963</c:v>
                </c:pt>
                <c:pt idx="2">
                  <c:v>1588.9597530864198</c:v>
                </c:pt>
                <c:pt idx="3">
                  <c:v>1412.7885902031064</c:v>
                </c:pt>
                <c:pt idx="4">
                  <c:v>1319.3265895953757</c:v>
                </c:pt>
                <c:pt idx="5">
                  <c:v>1527.5092013888891</c:v>
                </c:pt>
                <c:pt idx="6">
                  <c:v>1502.6942657617783</c:v>
                </c:pt>
                <c:pt idx="7">
                  <c:v>1764.7795837950991</c:v>
                </c:pt>
                <c:pt idx="8">
                  <c:v>1931.68857546706</c:v>
                </c:pt>
                <c:pt idx="9">
                  <c:v>1633.5146214689266</c:v>
                </c:pt>
                <c:pt idx="10">
                  <c:v>1333.8680077945896</c:v>
                </c:pt>
                <c:pt idx="11">
                  <c:v>1369.4384692179701</c:v>
                </c:pt>
                <c:pt idx="12">
                  <c:v>1520.8906435879135</c:v>
                </c:pt>
                <c:pt idx="13">
                  <c:v>1403.798748427673</c:v>
                </c:pt>
                <c:pt idx="14">
                  <c:v>1501.5793345323741</c:v>
                </c:pt>
                <c:pt idx="15">
                  <c:v>1357.7313701923078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A-4B14-97EC-E058F3E2C3B7}"/>
            </c:ext>
          </c:extLst>
        </c:ser>
        <c:ser>
          <c:idx val="2"/>
          <c:order val="2"/>
          <c:tx>
            <c:strRef>
              <c:f>VÄRME!$U$3</c:f>
              <c:strCache>
                <c:ptCount val="1"/>
                <c:pt idx="0">
                  <c:v>Hus F+G+I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VÄRME!$A$9:$A$24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VÄRME!$K$70:$K$85</c:f>
              <c:numCache>
                <c:formatCode>0.0</c:formatCode>
                <c:ptCount val="16"/>
                <c:pt idx="0">
                  <c:v>2122.0561737804878</c:v>
                </c:pt>
                <c:pt idx="1">
                  <c:v>1961.0800925925928</c:v>
                </c:pt>
                <c:pt idx="2">
                  <c:v>1962.5265843621401</c:v>
                </c:pt>
                <c:pt idx="3">
                  <c:v>1987.7792114695339</c:v>
                </c:pt>
                <c:pt idx="4">
                  <c:v>1795.8265895953755</c:v>
                </c:pt>
                <c:pt idx="5">
                  <c:v>2014.2065104166668</c:v>
                </c:pt>
                <c:pt idx="6">
                  <c:v>1906.425881774368</c:v>
                </c:pt>
                <c:pt idx="7">
                  <c:v>2121.7414419406482</c:v>
                </c:pt>
                <c:pt idx="8">
                  <c:v>2234.5756145526057</c:v>
                </c:pt>
                <c:pt idx="9">
                  <c:v>2177.5836231638418</c:v>
                </c:pt>
                <c:pt idx="10">
                  <c:v>2023.6101364053188</c:v>
                </c:pt>
                <c:pt idx="11">
                  <c:v>2100.2017304492515</c:v>
                </c:pt>
                <c:pt idx="12">
                  <c:v>2149.4273435641207</c:v>
                </c:pt>
                <c:pt idx="13">
                  <c:v>2243.872500628931</c:v>
                </c:pt>
                <c:pt idx="14">
                  <c:v>2366.9715683453242</c:v>
                </c:pt>
                <c:pt idx="15">
                  <c:v>1993.0682892628206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A-4B14-97EC-E058F3E2C3B7}"/>
            </c:ext>
          </c:extLst>
        </c:ser>
        <c:ser>
          <c:idx val="3"/>
          <c:order val="3"/>
          <c:tx>
            <c:strRef>
              <c:f>VÄRME!$Z$3</c:f>
              <c:strCache>
                <c:ptCount val="1"/>
                <c:pt idx="0">
                  <c:v>Hus 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VÄRME!$A$9:$A$24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VÄRME!$M$70:$M$85</c:f>
              <c:numCache>
                <c:formatCode>0.0</c:formatCode>
                <c:ptCount val="16"/>
                <c:pt idx="7">
                  <c:v>277.49264253170799</c:v>
                </c:pt>
                <c:pt idx="8">
                  <c:v>329.47883480825965</c:v>
                </c:pt>
                <c:pt idx="9">
                  <c:v>343.09842203389837</c:v>
                </c:pt>
                <c:pt idx="10">
                  <c:v>346.80568202659333</c:v>
                </c:pt>
                <c:pt idx="11">
                  <c:v>363.40124237382145</c:v>
                </c:pt>
                <c:pt idx="12">
                  <c:v>357.36200333095411</c:v>
                </c:pt>
                <c:pt idx="13">
                  <c:v>358.61378867924532</c:v>
                </c:pt>
                <c:pt idx="14">
                  <c:v>374.81282613908871</c:v>
                </c:pt>
                <c:pt idx="15">
                  <c:v>271.85138221153852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EA-4B14-97EC-E058F3E2C3B7}"/>
            </c:ext>
          </c:extLst>
        </c:ser>
        <c:ser>
          <c:idx val="4"/>
          <c:order val="4"/>
          <c:tx>
            <c:strRef>
              <c:f>VÄRME!$AF$3</c:f>
              <c:strCache>
                <c:ptCount val="1"/>
                <c:pt idx="0">
                  <c:v>Hus 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VÄRME!$A$9:$A$24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VÄRME!$O$70:$O$85</c:f>
              <c:numCache>
                <c:formatCode>0.0</c:formatCode>
                <c:ptCount val="16"/>
                <c:pt idx="12">
                  <c:v>330.03432072329286</c:v>
                </c:pt>
                <c:pt idx="13">
                  <c:v>258.04313207547176</c:v>
                </c:pt>
                <c:pt idx="14">
                  <c:v>365.07742805755396</c:v>
                </c:pt>
                <c:pt idx="15">
                  <c:v>436.3046875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EA-4B14-97EC-E058F3E2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518048"/>
        <c:axId val="89520016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VÄRME!$H$4</c15:sqref>
                        </c15:formulaRef>
                      </c:ext>
                    </c:extLst>
                    <c:strCache>
                      <c:ptCount val="1"/>
                      <c:pt idx="0">
                        <c:v>Nyckeltal kWh/m²/år BRA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VÄRME!$A$9:$A$24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VÄRME!$H$9:$H$21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88.886183069008553</c:v>
                      </c:pt>
                      <c:pt idx="1">
                        <c:v>80.819457550759495</c:v>
                      </c:pt>
                      <c:pt idx="2">
                        <c:v>91.194585654419456</c:v>
                      </c:pt>
                      <c:pt idx="3">
                        <c:v>117.11972238288028</c:v>
                      </c:pt>
                      <c:pt idx="4">
                        <c:v>88.188588881109652</c:v>
                      </c:pt>
                      <c:pt idx="5">
                        <c:v>92.932229358822156</c:v>
                      </c:pt>
                      <c:pt idx="6">
                        <c:v>94.657189532535796</c:v>
                      </c:pt>
                      <c:pt idx="7">
                        <c:v>86.376696578397585</c:v>
                      </c:pt>
                      <c:pt idx="8">
                        <c:v>95.041855706575006</c:v>
                      </c:pt>
                      <c:pt idx="9">
                        <c:v>97.097590010087444</c:v>
                      </c:pt>
                      <c:pt idx="10">
                        <c:v>86.340840747522364</c:v>
                      </c:pt>
                      <c:pt idx="11">
                        <c:v>89.281018879290158</c:v>
                      </c:pt>
                      <c:pt idx="12">
                        <c:v>83.42037186385852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093-44D6-AACB-E68EEE29CF14}"/>
                  </c:ext>
                </c:extLst>
              </c15:ser>
            </c15:filteredLineSeries>
          </c:ext>
        </c:extLst>
      </c:lineChart>
      <c:catAx>
        <c:axId val="8951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520016"/>
        <c:crosses val="autoZero"/>
        <c:auto val="1"/>
        <c:lblAlgn val="ctr"/>
        <c:lblOffset val="100"/>
        <c:noMultiLvlLbl val="0"/>
      </c:catAx>
      <c:valAx>
        <c:axId val="8952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51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Förbrukning</a:t>
            </a:r>
            <a:r>
              <a:rPr lang="sv-SE" baseline="0"/>
              <a:t> Normalår / Graddagsjusterat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VÄRME!$F$4</c:f>
              <c:strCache>
                <c:ptCount val="1"/>
                <c:pt idx="0">
                  <c:v>Graddags korrigerat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VÄRME!$A$9:$A$24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VÄRME!$F$9:$F$24</c:f>
              <c:numCache>
                <c:formatCode>#,##0</c:formatCode>
                <c:ptCount val="16"/>
                <c:pt idx="0">
                  <c:v>7794.2189024390245</c:v>
                </c:pt>
                <c:pt idx="1">
                  <c:v>6835.8875000000007</c:v>
                </c:pt>
                <c:pt idx="2">
                  <c:v>7481.7423868312762</c:v>
                </c:pt>
                <c:pt idx="3">
                  <c:v>7353.8274193548386</c:v>
                </c:pt>
                <c:pt idx="4">
                  <c:v>6383.6310211946047</c:v>
                </c:pt>
                <c:pt idx="5">
                  <c:v>6766.6625868055562</c:v>
                </c:pt>
                <c:pt idx="6">
                  <c:v>6679.3372873020562</c:v>
                </c:pt>
                <c:pt idx="7">
                  <c:v>7824.5779460657559</c:v>
                </c:pt>
                <c:pt idx="8">
                  <c:v>8595.8520157325474</c:v>
                </c:pt>
                <c:pt idx="9">
                  <c:v>8171.5965423728812</c:v>
                </c:pt>
                <c:pt idx="10">
                  <c:v>7355.6202200825301</c:v>
                </c:pt>
                <c:pt idx="11">
                  <c:v>7396.7500831946763</c:v>
                </c:pt>
                <c:pt idx="12">
                  <c:v>7958.2416012372123</c:v>
                </c:pt>
                <c:pt idx="13">
                  <c:v>7758.937937106919</c:v>
                </c:pt>
                <c:pt idx="14">
                  <c:v>8493.0766306954447</c:v>
                </c:pt>
                <c:pt idx="15">
                  <c:v>7452.7756410256416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8-4EB6-9D67-86E4DCDD7335}"/>
            </c:ext>
          </c:extLst>
        </c:ser>
        <c:ser>
          <c:idx val="2"/>
          <c:order val="1"/>
          <c:tx>
            <c:strRef>
              <c:f>VÄRME!$G$4</c:f>
              <c:strCache>
                <c:ptCount val="1"/>
                <c:pt idx="0">
                  <c:v>Normalår Campus Jönköping graddagar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VÄRME!$A$9:$A$24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VÄRME!$G$9:$G$24</c:f>
              <c:numCache>
                <c:formatCode>#,##0</c:formatCode>
                <c:ptCount val="16"/>
                <c:pt idx="0">
                  <c:v>7008</c:v>
                </c:pt>
                <c:pt idx="1">
                  <c:v>6372</c:v>
                </c:pt>
                <c:pt idx="2">
                  <c:v>7190</c:v>
                </c:pt>
                <c:pt idx="3">
                  <c:v>9234</c:v>
                </c:pt>
                <c:pt idx="4">
                  <c:v>6953</c:v>
                </c:pt>
                <c:pt idx="5">
                  <c:v>7327</c:v>
                </c:pt>
                <c:pt idx="6">
                  <c:v>7463</c:v>
                </c:pt>
                <c:pt idx="7">
                  <c:v>7227</c:v>
                </c:pt>
                <c:pt idx="8">
                  <c:v>7952</c:v>
                </c:pt>
                <c:pt idx="9">
                  <c:v>8124</c:v>
                </c:pt>
                <c:pt idx="10">
                  <c:v>7224</c:v>
                </c:pt>
                <c:pt idx="11">
                  <c:v>7470</c:v>
                </c:pt>
                <c:pt idx="12">
                  <c:v>7571.6</c:v>
                </c:pt>
                <c:pt idx="13">
                  <c:v>7036</c:v>
                </c:pt>
                <c:pt idx="14">
                  <c:v>8026</c:v>
                </c:pt>
                <c:pt idx="15">
                  <c:v>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98-4EB6-9D67-86E4DCDD7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642264"/>
        <c:axId val="474640624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VÄRME!$D$4</c15:sqref>
                        </c15:formulaRef>
                      </c:ext>
                    </c:extLst>
                    <c:strCache>
                      <c:ptCount val="1"/>
                      <c:pt idx="0">
                        <c:v>Mätslag Fjärrvärme (Mwh)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VÄRME!$A$9:$A$24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VÄRME!$D$9:$D$24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7008</c:v>
                      </c:pt>
                      <c:pt idx="1">
                        <c:v>6372</c:v>
                      </c:pt>
                      <c:pt idx="2">
                        <c:v>7190</c:v>
                      </c:pt>
                      <c:pt idx="3">
                        <c:v>9234</c:v>
                      </c:pt>
                      <c:pt idx="4">
                        <c:v>6953</c:v>
                      </c:pt>
                      <c:pt idx="5">
                        <c:v>7327</c:v>
                      </c:pt>
                      <c:pt idx="6">
                        <c:v>7463</c:v>
                      </c:pt>
                      <c:pt idx="7">
                        <c:v>7227</c:v>
                      </c:pt>
                      <c:pt idx="8">
                        <c:v>7952</c:v>
                      </c:pt>
                      <c:pt idx="9">
                        <c:v>8124</c:v>
                      </c:pt>
                      <c:pt idx="10">
                        <c:v>7224</c:v>
                      </c:pt>
                      <c:pt idx="11">
                        <c:v>7470</c:v>
                      </c:pt>
                      <c:pt idx="12">
                        <c:v>7571.6</c:v>
                      </c:pt>
                      <c:pt idx="13">
                        <c:v>7036</c:v>
                      </c:pt>
                      <c:pt idx="14">
                        <c:v>8026</c:v>
                      </c:pt>
                      <c:pt idx="15">
                        <c:v>7328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398-4EB6-9D67-86E4DCDD7335}"/>
                  </c:ext>
                </c:extLst>
              </c15:ser>
            </c15:filteredLineSeries>
          </c:ext>
        </c:extLst>
      </c:lineChart>
      <c:catAx>
        <c:axId val="47464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640624"/>
        <c:crosses val="autoZero"/>
        <c:auto val="1"/>
        <c:lblAlgn val="ctr"/>
        <c:lblOffset val="100"/>
        <c:noMultiLvlLbl val="0"/>
      </c:catAx>
      <c:valAx>
        <c:axId val="47464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64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Mätslag Fjärrkyla (Mwh)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KYLA!$I$3</c:f>
              <c:strCache>
                <c:ptCount val="1"/>
                <c:pt idx="0">
                  <c:v>Hus A+B+C+D+E 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KYLA!$I$5:$I$24</c:f>
              <c:numCache>
                <c:formatCode>#,##0</c:formatCode>
                <c:ptCount val="20"/>
                <c:pt idx="0">
                  <c:v>1494</c:v>
                </c:pt>
                <c:pt idx="1">
                  <c:v>2357</c:v>
                </c:pt>
                <c:pt idx="2">
                  <c:v>3631</c:v>
                </c:pt>
                <c:pt idx="3">
                  <c:v>3249</c:v>
                </c:pt>
                <c:pt idx="4">
                  <c:v>1911</c:v>
                </c:pt>
                <c:pt idx="5">
                  <c:v>1991</c:v>
                </c:pt>
                <c:pt idx="6">
                  <c:v>1729</c:v>
                </c:pt>
                <c:pt idx="7">
                  <c:v>1655</c:v>
                </c:pt>
                <c:pt idx="8">
                  <c:v>1485</c:v>
                </c:pt>
                <c:pt idx="9">
                  <c:v>1564</c:v>
                </c:pt>
                <c:pt idx="10">
                  <c:v>1315</c:v>
                </c:pt>
                <c:pt idx="11">
                  <c:v>1429</c:v>
                </c:pt>
                <c:pt idx="12">
                  <c:v>1484</c:v>
                </c:pt>
                <c:pt idx="13">
                  <c:v>1502</c:v>
                </c:pt>
                <c:pt idx="14">
                  <c:v>1365</c:v>
                </c:pt>
                <c:pt idx="15">
                  <c:v>1408</c:v>
                </c:pt>
                <c:pt idx="16">
                  <c:v>1228</c:v>
                </c:pt>
                <c:pt idx="17">
                  <c:v>1224</c:v>
                </c:pt>
                <c:pt idx="18">
                  <c:v>1181</c:v>
                </c:pt>
                <c:pt idx="19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F-48BA-B4E6-0A5157042B81}"/>
            </c:ext>
          </c:extLst>
        </c:ser>
        <c:ser>
          <c:idx val="3"/>
          <c:order val="1"/>
          <c:tx>
            <c:strRef>
              <c:f>KYLA!$L$3</c:f>
              <c:strCache>
                <c:ptCount val="1"/>
                <c:pt idx="0">
                  <c:v>Hus H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KYLA!$L$5:$L$24</c:f>
              <c:numCache>
                <c:formatCode>0</c:formatCode>
                <c:ptCount val="20"/>
                <c:pt idx="0">
                  <c:v>467</c:v>
                </c:pt>
                <c:pt idx="1">
                  <c:v>396</c:v>
                </c:pt>
                <c:pt idx="2">
                  <c:v>436</c:v>
                </c:pt>
                <c:pt idx="3">
                  <c:v>468</c:v>
                </c:pt>
                <c:pt idx="4">
                  <c:v>450.3</c:v>
                </c:pt>
                <c:pt idx="5">
                  <c:v>496.4</c:v>
                </c:pt>
                <c:pt idx="6">
                  <c:v>593.1</c:v>
                </c:pt>
                <c:pt idx="7">
                  <c:v>608.5</c:v>
                </c:pt>
                <c:pt idx="8">
                  <c:v>635.5</c:v>
                </c:pt>
                <c:pt idx="9">
                  <c:v>686.4</c:v>
                </c:pt>
                <c:pt idx="10">
                  <c:v>636</c:v>
                </c:pt>
                <c:pt idx="11">
                  <c:v>617.70000000000005</c:v>
                </c:pt>
                <c:pt idx="12">
                  <c:v>531.79999999999995</c:v>
                </c:pt>
                <c:pt idx="13">
                  <c:v>514.4</c:v>
                </c:pt>
                <c:pt idx="14">
                  <c:v>487</c:v>
                </c:pt>
                <c:pt idx="15">
                  <c:v>567</c:v>
                </c:pt>
                <c:pt idx="16">
                  <c:v>473</c:v>
                </c:pt>
                <c:pt idx="17">
                  <c:v>408</c:v>
                </c:pt>
                <c:pt idx="18">
                  <c:v>448</c:v>
                </c:pt>
                <c:pt idx="19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F-48BA-B4E6-0A5157042B81}"/>
            </c:ext>
          </c:extLst>
        </c:ser>
        <c:ser>
          <c:idx val="4"/>
          <c:order val="2"/>
          <c:tx>
            <c:strRef>
              <c:f>KYLA!$O$3</c:f>
              <c:strCache>
                <c:ptCount val="1"/>
                <c:pt idx="0">
                  <c:v>Hus F+G+I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KYLA!$O$5:$O$24</c:f>
              <c:numCache>
                <c:formatCode>#\ ##0.000000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352</c:v>
                </c:pt>
                <c:pt idx="4" formatCode="#,##0">
                  <c:v>279.39999999999998</c:v>
                </c:pt>
                <c:pt idx="5" formatCode="#,##0">
                  <c:v>315.7</c:v>
                </c:pt>
                <c:pt idx="6" formatCode="#,##0">
                  <c:v>359.5</c:v>
                </c:pt>
                <c:pt idx="7" formatCode="#,##0">
                  <c:v>340.3</c:v>
                </c:pt>
                <c:pt idx="8" formatCode="#,##0">
                  <c:v>303.89999999999998</c:v>
                </c:pt>
                <c:pt idx="9" formatCode="#,##0">
                  <c:v>227</c:v>
                </c:pt>
                <c:pt idx="10" formatCode="#,##0">
                  <c:v>243.5</c:v>
                </c:pt>
                <c:pt idx="11" formatCode="#,##0">
                  <c:v>315.89999999999998</c:v>
                </c:pt>
                <c:pt idx="12" formatCode="#,##0">
                  <c:v>367.7</c:v>
                </c:pt>
                <c:pt idx="13" formatCode="#,##0">
                  <c:v>380</c:v>
                </c:pt>
                <c:pt idx="14" formatCode="#,##0">
                  <c:v>310</c:v>
                </c:pt>
                <c:pt idx="15" formatCode="#,##0">
                  <c:v>397</c:v>
                </c:pt>
                <c:pt idx="16" formatCode="0">
                  <c:v>341</c:v>
                </c:pt>
                <c:pt idx="17" formatCode="0">
                  <c:v>280</c:v>
                </c:pt>
                <c:pt idx="18" formatCode="0">
                  <c:v>316</c:v>
                </c:pt>
                <c:pt idx="19" formatCode="0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4F-48BA-B4E6-0A5157042B81}"/>
            </c:ext>
          </c:extLst>
        </c:ser>
        <c:ser>
          <c:idx val="1"/>
          <c:order val="3"/>
          <c:tx>
            <c:strRef>
              <c:f>KYLA!$R$3</c:f>
              <c:strCache>
                <c:ptCount val="1"/>
                <c:pt idx="0">
                  <c:v>Hus J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KYLA!$R$5:$R$24</c:f>
              <c:numCache>
                <c:formatCode>#\ ##0.000000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1</c:v>
                </c:pt>
                <c:pt idx="11" formatCode="#\ ##0.0">
                  <c:v>100</c:v>
                </c:pt>
                <c:pt idx="12" formatCode="#\ ##0.0">
                  <c:v>130</c:v>
                </c:pt>
                <c:pt idx="13" formatCode="#\ ##0.0">
                  <c:v>132</c:v>
                </c:pt>
                <c:pt idx="14" formatCode="#\ ##0.0">
                  <c:v>102</c:v>
                </c:pt>
                <c:pt idx="15" formatCode="#\ ##0.0">
                  <c:v>103</c:v>
                </c:pt>
                <c:pt idx="16" formatCode="0.0">
                  <c:v>84</c:v>
                </c:pt>
                <c:pt idx="17" formatCode="0.0">
                  <c:v>107</c:v>
                </c:pt>
                <c:pt idx="18" formatCode="0.0">
                  <c:v>87.7</c:v>
                </c:pt>
                <c:pt idx="19" formatCode="0.0">
                  <c:v>104.14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4F-48BA-B4E6-0A5157042B81}"/>
            </c:ext>
          </c:extLst>
        </c:ser>
        <c:ser>
          <c:idx val="0"/>
          <c:order val="4"/>
          <c:tx>
            <c:v>Hus K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KYLA!$U$5:$U$24</c:f>
              <c:numCache>
                <c:formatCode>General</c:formatCode>
                <c:ptCount val="20"/>
                <c:pt idx="16" formatCode="0.0">
                  <c:v>25.5</c:v>
                </c:pt>
                <c:pt idx="17" formatCode="0.0">
                  <c:v>46.5</c:v>
                </c:pt>
                <c:pt idx="18" formatCode="0.0">
                  <c:v>39.9</c:v>
                </c:pt>
                <c:pt idx="19" formatCode="0.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0-435B-878C-FFDB00FFE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5039456"/>
        <c:axId val="455042592"/>
      </c:barChart>
      <c:catAx>
        <c:axId val="45503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42592"/>
        <c:crosses val="autoZero"/>
        <c:auto val="1"/>
        <c:lblAlgn val="ctr"/>
        <c:lblOffset val="100"/>
        <c:noMultiLvlLbl val="0"/>
      </c:catAx>
      <c:valAx>
        <c:axId val="45504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3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Mätslag summerad fjärrkyla (Mwh)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Hus A+B+C+D+E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KYLA!$I$5:$I$24</c:f>
              <c:numCache>
                <c:formatCode>#,##0</c:formatCode>
                <c:ptCount val="20"/>
                <c:pt idx="0">
                  <c:v>1494</c:v>
                </c:pt>
                <c:pt idx="1">
                  <c:v>2357</c:v>
                </c:pt>
                <c:pt idx="2">
                  <c:v>3631</c:v>
                </c:pt>
                <c:pt idx="3">
                  <c:v>3249</c:v>
                </c:pt>
                <c:pt idx="4">
                  <c:v>1911</c:v>
                </c:pt>
                <c:pt idx="5">
                  <c:v>1991</c:v>
                </c:pt>
                <c:pt idx="6">
                  <c:v>1729</c:v>
                </c:pt>
                <c:pt idx="7">
                  <c:v>1655</c:v>
                </c:pt>
                <c:pt idx="8">
                  <c:v>1485</c:v>
                </c:pt>
                <c:pt idx="9">
                  <c:v>1564</c:v>
                </c:pt>
                <c:pt idx="10">
                  <c:v>1315</c:v>
                </c:pt>
                <c:pt idx="11">
                  <c:v>1429</c:v>
                </c:pt>
                <c:pt idx="12">
                  <c:v>1484</c:v>
                </c:pt>
                <c:pt idx="13">
                  <c:v>1502</c:v>
                </c:pt>
                <c:pt idx="14">
                  <c:v>1365</c:v>
                </c:pt>
                <c:pt idx="15">
                  <c:v>1408</c:v>
                </c:pt>
                <c:pt idx="16">
                  <c:v>1228</c:v>
                </c:pt>
                <c:pt idx="17">
                  <c:v>1224</c:v>
                </c:pt>
                <c:pt idx="18">
                  <c:v>1181</c:v>
                </c:pt>
                <c:pt idx="19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3-4009-8BDA-176EE2D1F523}"/>
            </c:ext>
          </c:extLst>
        </c:ser>
        <c:ser>
          <c:idx val="3"/>
          <c:order val="1"/>
          <c:tx>
            <c:v>Hus H</c:v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KYLA!$L$5:$L$24</c:f>
              <c:numCache>
                <c:formatCode>0</c:formatCode>
                <c:ptCount val="20"/>
                <c:pt idx="0">
                  <c:v>467</c:v>
                </c:pt>
                <c:pt idx="1">
                  <c:v>396</c:v>
                </c:pt>
                <c:pt idx="2">
                  <c:v>436</c:v>
                </c:pt>
                <c:pt idx="3">
                  <c:v>468</c:v>
                </c:pt>
                <c:pt idx="4">
                  <c:v>450.3</c:v>
                </c:pt>
                <c:pt idx="5">
                  <c:v>496.4</c:v>
                </c:pt>
                <c:pt idx="6">
                  <c:v>593.1</c:v>
                </c:pt>
                <c:pt idx="7">
                  <c:v>608.5</c:v>
                </c:pt>
                <c:pt idx="8">
                  <c:v>635.5</c:v>
                </c:pt>
                <c:pt idx="9">
                  <c:v>686.4</c:v>
                </c:pt>
                <c:pt idx="10">
                  <c:v>636</c:v>
                </c:pt>
                <c:pt idx="11">
                  <c:v>617.70000000000005</c:v>
                </c:pt>
                <c:pt idx="12">
                  <c:v>531.79999999999995</c:v>
                </c:pt>
                <c:pt idx="13">
                  <c:v>514.4</c:v>
                </c:pt>
                <c:pt idx="14">
                  <c:v>487</c:v>
                </c:pt>
                <c:pt idx="15">
                  <c:v>567</c:v>
                </c:pt>
                <c:pt idx="16">
                  <c:v>473</c:v>
                </c:pt>
                <c:pt idx="17">
                  <c:v>408</c:v>
                </c:pt>
                <c:pt idx="18">
                  <c:v>448</c:v>
                </c:pt>
                <c:pt idx="19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3-4009-8BDA-176EE2D1F523}"/>
            </c:ext>
          </c:extLst>
        </c:ser>
        <c:ser>
          <c:idx val="4"/>
          <c:order val="2"/>
          <c:tx>
            <c:v>Hus F+G+I</c:v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KYLA!$O$5:$O$24</c:f>
              <c:numCache>
                <c:formatCode>#\ ##0.000000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352</c:v>
                </c:pt>
                <c:pt idx="4" formatCode="#,##0">
                  <c:v>279.39999999999998</c:v>
                </c:pt>
                <c:pt idx="5" formatCode="#,##0">
                  <c:v>315.7</c:v>
                </c:pt>
                <c:pt idx="6" formatCode="#,##0">
                  <c:v>359.5</c:v>
                </c:pt>
                <c:pt idx="7" formatCode="#,##0">
                  <c:v>340.3</c:v>
                </c:pt>
                <c:pt idx="8" formatCode="#,##0">
                  <c:v>303.89999999999998</c:v>
                </c:pt>
                <c:pt idx="9" formatCode="#,##0">
                  <c:v>227</c:v>
                </c:pt>
                <c:pt idx="10" formatCode="#,##0">
                  <c:v>243.5</c:v>
                </c:pt>
                <c:pt idx="11" formatCode="#,##0">
                  <c:v>315.89999999999998</c:v>
                </c:pt>
                <c:pt idx="12" formatCode="#,##0">
                  <c:v>367.7</c:v>
                </c:pt>
                <c:pt idx="13" formatCode="#,##0">
                  <c:v>380</c:v>
                </c:pt>
                <c:pt idx="14" formatCode="#,##0">
                  <c:v>310</c:v>
                </c:pt>
                <c:pt idx="15" formatCode="#,##0">
                  <c:v>397</c:v>
                </c:pt>
                <c:pt idx="16" formatCode="0">
                  <c:v>341</c:v>
                </c:pt>
                <c:pt idx="17" formatCode="0">
                  <c:v>280</c:v>
                </c:pt>
                <c:pt idx="18" formatCode="0">
                  <c:v>316</c:v>
                </c:pt>
                <c:pt idx="19" formatCode="0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3-4009-8BDA-176EE2D1F523}"/>
            </c:ext>
          </c:extLst>
        </c:ser>
        <c:ser>
          <c:idx val="1"/>
          <c:order val="3"/>
          <c:tx>
            <c:v>Hus J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KYLA!$R$5:$R$24</c:f>
              <c:numCache>
                <c:formatCode>#\ ##0.000000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1</c:v>
                </c:pt>
                <c:pt idx="11" formatCode="#\ ##0.0">
                  <c:v>100</c:v>
                </c:pt>
                <c:pt idx="12" formatCode="#\ ##0.0">
                  <c:v>130</c:v>
                </c:pt>
                <c:pt idx="13" formatCode="#\ ##0.0">
                  <c:v>132</c:v>
                </c:pt>
                <c:pt idx="14" formatCode="#\ ##0.0">
                  <c:v>102</c:v>
                </c:pt>
                <c:pt idx="15" formatCode="#\ ##0.0">
                  <c:v>103</c:v>
                </c:pt>
                <c:pt idx="16" formatCode="0.0">
                  <c:v>84</c:v>
                </c:pt>
                <c:pt idx="17" formatCode="0.0">
                  <c:v>107</c:v>
                </c:pt>
                <c:pt idx="18" formatCode="0.0">
                  <c:v>87.7</c:v>
                </c:pt>
                <c:pt idx="19" formatCode="0.0">
                  <c:v>104.14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3-4009-8BDA-176EE2D1F523}"/>
            </c:ext>
          </c:extLst>
        </c:ser>
        <c:ser>
          <c:idx val="0"/>
          <c:order val="4"/>
          <c:tx>
            <c:v>Hus K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KYLA!$U$5:$U$24</c:f>
              <c:numCache>
                <c:formatCode>General</c:formatCode>
                <c:ptCount val="20"/>
                <c:pt idx="16" formatCode="0.0">
                  <c:v>25.5</c:v>
                </c:pt>
                <c:pt idx="17" formatCode="0.0">
                  <c:v>46.5</c:v>
                </c:pt>
                <c:pt idx="18" formatCode="0.0">
                  <c:v>39.9</c:v>
                </c:pt>
                <c:pt idx="19" formatCode="0.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C-4AC7-96D2-3F718CE2E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039848"/>
        <c:axId val="455040240"/>
      </c:barChart>
      <c:catAx>
        <c:axId val="45503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40240"/>
        <c:crosses val="autoZero"/>
        <c:auto val="1"/>
        <c:lblAlgn val="ctr"/>
        <c:lblOffset val="100"/>
        <c:noMultiLvlLbl val="0"/>
      </c:catAx>
      <c:valAx>
        <c:axId val="4550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3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kWh/m²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Hus A+B+C+D+E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KYLA!$K$5:$K$24</c:f>
              <c:numCache>
                <c:formatCode>0.0</c:formatCode>
                <c:ptCount val="20"/>
                <c:pt idx="0">
                  <c:v>36.430138990490128</c:v>
                </c:pt>
                <c:pt idx="1">
                  <c:v>57.473786881248479</c:v>
                </c:pt>
                <c:pt idx="2">
                  <c:v>88.539380638868579</c:v>
                </c:pt>
                <c:pt idx="3">
                  <c:v>79.224579370885152</c:v>
                </c:pt>
                <c:pt idx="4">
                  <c:v>46.598390636430139</c:v>
                </c:pt>
                <c:pt idx="5">
                  <c:v>48.54913435747379</c:v>
                </c:pt>
                <c:pt idx="6">
                  <c:v>42.160448671055839</c:v>
                </c:pt>
                <c:pt idx="7">
                  <c:v>40.356010729090471</c:v>
                </c:pt>
                <c:pt idx="8">
                  <c:v>36.210680321872715</c:v>
                </c:pt>
                <c:pt idx="9">
                  <c:v>38.137039746403318</c:v>
                </c:pt>
                <c:pt idx="10">
                  <c:v>32.065349914654966</c:v>
                </c:pt>
                <c:pt idx="11">
                  <c:v>34.84515971714216</c:v>
                </c:pt>
                <c:pt idx="12">
                  <c:v>36.186296025359667</c:v>
                </c:pt>
                <c:pt idx="13">
                  <c:v>36.625213362594494</c:v>
                </c:pt>
                <c:pt idx="14">
                  <c:v>33.284564740307246</c:v>
                </c:pt>
                <c:pt idx="15">
                  <c:v>34.333089490368202</c:v>
                </c:pt>
                <c:pt idx="16">
                  <c:v>29.943916118019995</c:v>
                </c:pt>
                <c:pt idx="17">
                  <c:v>29.846378931967813</c:v>
                </c:pt>
                <c:pt idx="18">
                  <c:v>28.797854181906853</c:v>
                </c:pt>
                <c:pt idx="19">
                  <c:v>26.578883199219703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9-4114-B14A-462E6E0B68DB}"/>
            </c:ext>
          </c:extLst>
        </c:ser>
        <c:ser>
          <c:idx val="1"/>
          <c:order val="1"/>
          <c:tx>
            <c:v>Hus H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KYLA!$N$5:$N$24</c:f>
              <c:numCache>
                <c:formatCode>0.0</c:formatCode>
                <c:ptCount val="20"/>
                <c:pt idx="0">
                  <c:v>24.720766502567361</c:v>
                </c:pt>
                <c:pt idx="1">
                  <c:v>20.962363030014295</c:v>
                </c:pt>
                <c:pt idx="2">
                  <c:v>23.079773437086445</c:v>
                </c:pt>
                <c:pt idx="3">
                  <c:v>24.773701762744167</c:v>
                </c:pt>
                <c:pt idx="4">
                  <c:v>23.83674765761474</c:v>
                </c:pt>
                <c:pt idx="5">
                  <c:v>26.277063151765393</c:v>
                </c:pt>
                <c:pt idx="6">
                  <c:v>31.395902810862321</c:v>
                </c:pt>
                <c:pt idx="7">
                  <c:v>32.2111058175851</c:v>
                </c:pt>
                <c:pt idx="8">
                  <c:v>33.640357842358796</c:v>
                </c:pt>
                <c:pt idx="9">
                  <c:v>36.334762585358106</c:v>
                </c:pt>
                <c:pt idx="10">
                  <c:v>33.666825472447201</c:v>
                </c:pt>
                <c:pt idx="11">
                  <c:v>32.698110211211691</c:v>
                </c:pt>
                <c:pt idx="12">
                  <c:v>28.150971362024244</c:v>
                </c:pt>
                <c:pt idx="13">
                  <c:v>27.22989783494786</c:v>
                </c:pt>
                <c:pt idx="14">
                  <c:v>25.779471706103436</c:v>
                </c:pt>
                <c:pt idx="15">
                  <c:v>30.014292520247739</c:v>
                </c:pt>
                <c:pt idx="16">
                  <c:v>25.038378063628183</c:v>
                </c:pt>
                <c:pt idx="17">
                  <c:v>21.597586152135939</c:v>
                </c:pt>
                <c:pt idx="18">
                  <c:v>23.714996559208092</c:v>
                </c:pt>
                <c:pt idx="19">
                  <c:v>22.656291355672014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9-4114-B14A-462E6E0B68DB}"/>
            </c:ext>
          </c:extLst>
        </c:ser>
        <c:ser>
          <c:idx val="2"/>
          <c:order val="2"/>
          <c:tx>
            <c:v>Hus F+G+I</c:v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KYLA!$Q$5:$Q$24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18.58402407475846</c:v>
                </c:pt>
                <c:pt idx="4" formatCode="0.0">
                  <c:v>14.751069109339527</c:v>
                </c:pt>
                <c:pt idx="5" formatCode="0.0">
                  <c:v>16.667546592048996</c:v>
                </c:pt>
                <c:pt idx="6" formatCode="0.0">
                  <c:v>18.979990496805872</c:v>
                </c:pt>
                <c:pt idx="7" formatCode="0.0">
                  <c:v>17.966316456364503</c:v>
                </c:pt>
                <c:pt idx="8" formatCode="0.0">
                  <c:v>16.044559421361068</c:v>
                </c:pt>
                <c:pt idx="9" formatCode="0.0">
                  <c:v>11.984583707301622</c:v>
                </c:pt>
                <c:pt idx="10" formatCode="0.0">
                  <c:v>12.855709835805925</c:v>
                </c:pt>
                <c:pt idx="11" formatCode="0.0">
                  <c:v>16.678105696636926</c:v>
                </c:pt>
                <c:pt idx="12" formatCode="0.0">
                  <c:v>19.412913784911041</c:v>
                </c:pt>
                <c:pt idx="13" formatCode="0.0">
                  <c:v>20.062298717068792</c:v>
                </c:pt>
                <c:pt idx="14" formatCode="0.0">
                  <c:v>16.366612111292962</c:v>
                </c:pt>
                <c:pt idx="15" formatCode="0.0">
                  <c:v>20.959822607042923</c:v>
                </c:pt>
                <c:pt idx="16" formatCode="0.0">
                  <c:v>18.00327332242226</c:v>
                </c:pt>
                <c:pt idx="17" formatCode="0.0">
                  <c:v>14.782746423103323</c:v>
                </c:pt>
                <c:pt idx="18" formatCode="0.0">
                  <c:v>16.683385248930893</c:v>
                </c:pt>
                <c:pt idx="19" formatCode="0.0">
                  <c:v>16.577794203051582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59-4114-B14A-462E6E0B68DB}"/>
            </c:ext>
          </c:extLst>
        </c:ser>
        <c:ser>
          <c:idx val="3"/>
          <c:order val="3"/>
          <c:tx>
            <c:v>Hus J</c:v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KYLA!$T$5:$T$24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 formatCode="0.0">
                  <c:v>0.5920312592504885</c:v>
                </c:pt>
                <c:pt idx="11" formatCode="0.0">
                  <c:v>20.721094073767098</c:v>
                </c:pt>
                <c:pt idx="12" formatCode="0.0">
                  <c:v>26.937422295897225</c:v>
                </c:pt>
                <c:pt idx="13" formatCode="0.0">
                  <c:v>27.351844177372566</c:v>
                </c:pt>
                <c:pt idx="14" formatCode="0.0">
                  <c:v>21.13551595524244</c:v>
                </c:pt>
                <c:pt idx="15" formatCode="0.0">
                  <c:v>21.34272689598011</c:v>
                </c:pt>
                <c:pt idx="16" formatCode="0.0">
                  <c:v>17.405719021964362</c:v>
                </c:pt>
                <c:pt idx="17" formatCode="0.0">
                  <c:v>22.171570658930793</c:v>
                </c:pt>
                <c:pt idx="18" formatCode="0.0">
                  <c:v>18.172399502693743</c:v>
                </c:pt>
                <c:pt idx="19" formatCode="0.0">
                  <c:v>21.578947368421055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59-4114-B14A-462E6E0B68DB}"/>
            </c:ext>
          </c:extLst>
        </c:ser>
        <c:ser>
          <c:idx val="4"/>
          <c:order val="4"/>
          <c:tx>
            <c:v>Hus K</c:v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KYLA!$A$5:$A$24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KYLA!$W$5:$W$24</c:f>
              <c:numCache>
                <c:formatCode>General</c:formatCode>
                <c:ptCount val="20"/>
                <c:pt idx="16" formatCode="0.0">
                  <c:v>5.2838789888106099</c:v>
                </c:pt>
                <c:pt idx="17" formatCode="0.0">
                  <c:v>9.6353087443016996</c:v>
                </c:pt>
                <c:pt idx="18" formatCode="0.0">
                  <c:v>8.2677165354330704</c:v>
                </c:pt>
                <c:pt idx="19" formatCode="0.0">
                  <c:v>11.189390799834232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9-496B-B3F0-29C349FCE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2747120"/>
        <c:axId val="382747512"/>
      </c:barChart>
      <c:catAx>
        <c:axId val="38274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2747512"/>
        <c:crosses val="autoZero"/>
        <c:auto val="1"/>
        <c:lblAlgn val="ctr"/>
        <c:lblOffset val="100"/>
        <c:noMultiLvlLbl val="0"/>
      </c:catAx>
      <c:valAx>
        <c:axId val="38274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274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Mätslag Kallvatten (m³)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VATTEN!$E$3</c:f>
              <c:strCache>
                <c:ptCount val="1"/>
                <c:pt idx="0">
                  <c:v>Hus A+B+C+D+E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VATTEN!$A$7:$A$26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VATTEN!$E$7:$E$26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">
                  <c:v>8891</c:v>
                </c:pt>
                <c:pt idx="5" formatCode="#,##0">
                  <c:v>10629</c:v>
                </c:pt>
                <c:pt idx="6" formatCode="#,##0">
                  <c:v>11251</c:v>
                </c:pt>
                <c:pt idx="7" formatCode="#,##0">
                  <c:v>12430</c:v>
                </c:pt>
                <c:pt idx="8" formatCode="#,##0">
                  <c:v>11822</c:v>
                </c:pt>
                <c:pt idx="9" formatCode="#,##0">
                  <c:v>11639</c:v>
                </c:pt>
                <c:pt idx="10" formatCode="#,##0">
                  <c:v>11819</c:v>
                </c:pt>
                <c:pt idx="11" formatCode="#,##0">
                  <c:v>11589</c:v>
                </c:pt>
                <c:pt idx="12" formatCode="#,##0">
                  <c:v>10620</c:v>
                </c:pt>
                <c:pt idx="13" formatCode="#,##0">
                  <c:v>8118</c:v>
                </c:pt>
                <c:pt idx="14" formatCode="#,##0">
                  <c:v>13324</c:v>
                </c:pt>
                <c:pt idx="15" formatCode="#,##0">
                  <c:v>11457</c:v>
                </c:pt>
                <c:pt idx="16" formatCode="#,##0">
                  <c:v>11403</c:v>
                </c:pt>
                <c:pt idx="17" formatCode="#,##0">
                  <c:v>8767</c:v>
                </c:pt>
                <c:pt idx="18" formatCode="#,##0">
                  <c:v>8124</c:v>
                </c:pt>
                <c:pt idx="19" formatCode="#,##0">
                  <c:v>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0-4D4E-B46D-BCAD85AD58F5}"/>
            </c:ext>
          </c:extLst>
        </c:ser>
        <c:ser>
          <c:idx val="1"/>
          <c:order val="1"/>
          <c:tx>
            <c:strRef>
              <c:f>VATTEN!$H$3</c:f>
              <c:strCache>
                <c:ptCount val="1"/>
                <c:pt idx="0">
                  <c:v>Hus 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VATTEN!$A$7:$A$26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VATTEN!$H$7:$H$26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10554</c:v>
                </c:pt>
                <c:pt idx="5" formatCode="#,##0">
                  <c:v>5058</c:v>
                </c:pt>
                <c:pt idx="6" formatCode="#,##0">
                  <c:v>4694</c:v>
                </c:pt>
                <c:pt idx="7" formatCode="#,##0">
                  <c:v>4656</c:v>
                </c:pt>
                <c:pt idx="8" formatCode="#,##0">
                  <c:v>4040</c:v>
                </c:pt>
                <c:pt idx="9" formatCode="#,##0">
                  <c:v>4488</c:v>
                </c:pt>
                <c:pt idx="10" formatCode="#,##0">
                  <c:v>6327</c:v>
                </c:pt>
                <c:pt idx="11" formatCode="#,##0">
                  <c:v>3492</c:v>
                </c:pt>
                <c:pt idx="12" formatCode="#,##0">
                  <c:v>4821</c:v>
                </c:pt>
                <c:pt idx="13" formatCode="#,##0">
                  <c:v>5242</c:v>
                </c:pt>
                <c:pt idx="14" formatCode="#,##0">
                  <c:v>4866</c:v>
                </c:pt>
                <c:pt idx="15" formatCode="#,##0">
                  <c:v>5280</c:v>
                </c:pt>
                <c:pt idx="16" formatCode="#,##0">
                  <c:v>3974</c:v>
                </c:pt>
                <c:pt idx="17" formatCode="#,##0">
                  <c:v>2243</c:v>
                </c:pt>
                <c:pt idx="18" formatCode="#,##0">
                  <c:v>2051</c:v>
                </c:pt>
                <c:pt idx="19" formatCode="#,##0">
                  <c:v>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F0-4D4E-B46D-BCAD85AD58F5}"/>
            </c:ext>
          </c:extLst>
        </c:ser>
        <c:ser>
          <c:idx val="2"/>
          <c:order val="2"/>
          <c:tx>
            <c:strRef>
              <c:f>VATTEN!$K$3</c:f>
              <c:strCache>
                <c:ptCount val="1"/>
                <c:pt idx="0">
                  <c:v>Hus F+G+I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VATTEN!$A$7:$A$26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VATTEN!$K$7:$K$26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6662</c:v>
                </c:pt>
                <c:pt idx="4" formatCode="#,##0">
                  <c:v>7372</c:v>
                </c:pt>
                <c:pt idx="5" formatCode="#,##0">
                  <c:v>7055</c:v>
                </c:pt>
                <c:pt idx="6" formatCode="#,##0">
                  <c:v>5339</c:v>
                </c:pt>
                <c:pt idx="7" formatCode="#,##0">
                  <c:v>5784</c:v>
                </c:pt>
                <c:pt idx="8" formatCode="#,##0">
                  <c:v>5410</c:v>
                </c:pt>
                <c:pt idx="9" formatCode="#,##0">
                  <c:v>5965</c:v>
                </c:pt>
                <c:pt idx="10" formatCode="#,##0">
                  <c:v>5678</c:v>
                </c:pt>
                <c:pt idx="11" formatCode="#,##0">
                  <c:v>7867</c:v>
                </c:pt>
                <c:pt idx="12" formatCode="#,##0">
                  <c:v>5490</c:v>
                </c:pt>
                <c:pt idx="13" formatCode="#,##0">
                  <c:v>7411</c:v>
                </c:pt>
                <c:pt idx="14" formatCode="#,##0">
                  <c:v>5645</c:v>
                </c:pt>
                <c:pt idx="15" formatCode="#,##0">
                  <c:v>4332</c:v>
                </c:pt>
                <c:pt idx="16" formatCode="#,##0">
                  <c:v>3340</c:v>
                </c:pt>
                <c:pt idx="17" formatCode="#,##0">
                  <c:v>2048</c:v>
                </c:pt>
                <c:pt idx="18" formatCode="#,##0">
                  <c:v>1635</c:v>
                </c:pt>
                <c:pt idx="19" formatCode="#,##0">
                  <c:v>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F0-4D4E-B46D-BCAD85AD58F5}"/>
            </c:ext>
          </c:extLst>
        </c:ser>
        <c:ser>
          <c:idx val="3"/>
          <c:order val="3"/>
          <c:tx>
            <c:strRef>
              <c:f>VATTEN!$N$3</c:f>
              <c:strCache>
                <c:ptCount val="1"/>
                <c:pt idx="0">
                  <c:v>Hus J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VATTEN!$A$7:$A$26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VATTEN!$N$7:$N$26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224</c:v>
                </c:pt>
                <c:pt idx="11">
                  <c:v>1983</c:v>
                </c:pt>
                <c:pt idx="12">
                  <c:v>2013</c:v>
                </c:pt>
                <c:pt idx="13">
                  <c:v>2034</c:v>
                </c:pt>
                <c:pt idx="14">
                  <c:v>2162</c:v>
                </c:pt>
                <c:pt idx="15">
                  <c:v>2324</c:v>
                </c:pt>
                <c:pt idx="16">
                  <c:v>2374</c:v>
                </c:pt>
                <c:pt idx="17">
                  <c:v>1811</c:v>
                </c:pt>
                <c:pt idx="18">
                  <c:v>1407</c:v>
                </c:pt>
                <c:pt idx="19">
                  <c:v>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F0-4D4E-B46D-BCAD85AD58F5}"/>
            </c:ext>
          </c:extLst>
        </c:ser>
        <c:ser>
          <c:idx val="4"/>
          <c:order val="4"/>
          <c:tx>
            <c:strRef>
              <c:f>VATTEN!$Q$3</c:f>
              <c:strCache>
                <c:ptCount val="1"/>
                <c:pt idx="0">
                  <c:v>Hus 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VATTEN!$A$7:$A$26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VATTEN!$Q$7:$Q$26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554</c:v>
                </c:pt>
                <c:pt idx="17">
                  <c:v>711</c:v>
                </c:pt>
                <c:pt idx="18">
                  <c:v>529</c:v>
                </c:pt>
                <c:pt idx="19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F-436E-97DA-DE93E783A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463208"/>
        <c:axId val="455463600"/>
      </c:barChart>
      <c:catAx>
        <c:axId val="45546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463600"/>
        <c:crosses val="autoZero"/>
        <c:auto val="1"/>
        <c:lblAlgn val="ctr"/>
        <c:lblOffset val="100"/>
        <c:noMultiLvlLbl val="0"/>
      </c:catAx>
      <c:valAx>
        <c:axId val="45546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46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Andel i summerad förändring mot referensår 2009 fram till nu.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09-414B-A54C-3FCA952CE6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09-414B-A54C-3FCA952CE6F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09-414B-A54C-3FCA952CE6F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09-414B-A54C-3FCA952CE6F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Sammanställning!$AA$38:$AA$42</c15:sqref>
                  </c15:fullRef>
                </c:ext>
              </c:extLst>
              <c:f>(Sammanställning!$AA$38:$AA$39,Sammanställning!$AA$41:$AA$42)</c:f>
              <c:strCache>
                <c:ptCount val="2"/>
                <c:pt idx="0">
                  <c:v>El MWh</c:v>
                </c:pt>
                <c:pt idx="1">
                  <c:v>Fjärrkyla MWh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(Sammanställning!$F$28,Sammanställning!$K$28,Sammanställning!$P$28)</c15:sqref>
                  </c15:fullRef>
                </c:ext>
              </c:extLst>
              <c:f>(Sammanställning!$F$28,Sammanställning!$K$28)</c:f>
              <c:numCache>
                <c:formatCode>#,##0</c:formatCode>
                <c:ptCount val="2"/>
                <c:pt idx="0">
                  <c:v>-42028</c:v>
                </c:pt>
                <c:pt idx="1">
                  <c:v>-4636.4599999999982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Sammanställning!$P$28</c15:sqref>
                  <c15:spPr xmlns:c15="http://schemas.microsoft.com/office/drawing/2012/chart"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2D09-414B-A54C-3FCA952CE6F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 årlig förändring av energiåtgång i MWh jämfört med 2009</a:t>
            </a:r>
          </a:p>
          <a:p>
            <a:pPr>
              <a:defRPr/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Sammanställning!$A$12:$A$25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Sammanställning!$Y$12:$Y$25</c:f>
              <c:numCache>
                <c:formatCode>#,##0</c:formatCode>
                <c:ptCount val="14"/>
                <c:pt idx="0" formatCode="General">
                  <c:v>0</c:v>
                </c:pt>
                <c:pt idx="1">
                  <c:v>500</c:v>
                </c:pt>
                <c:pt idx="2">
                  <c:v>-2988.6999999999989</c:v>
                </c:pt>
                <c:pt idx="3">
                  <c:v>-3093.6999999999989</c:v>
                </c:pt>
                <c:pt idx="4">
                  <c:v>-3639.4999999999982</c:v>
                </c:pt>
                <c:pt idx="5">
                  <c:v>-3408.4999999999982</c:v>
                </c:pt>
                <c:pt idx="6">
                  <c:v>-2794.5999999999985</c:v>
                </c:pt>
                <c:pt idx="7">
                  <c:v>-2464.6999999999971</c:v>
                </c:pt>
                <c:pt idx="8">
                  <c:v>-3706.0999999999985</c:v>
                </c:pt>
                <c:pt idx="9">
                  <c:v>-3395.0999999999985</c:v>
                </c:pt>
                <c:pt idx="10">
                  <c:v>-3601.9999999999982</c:v>
                </c:pt>
                <c:pt idx="11">
                  <c:v>-4647.5999999999985</c:v>
                </c:pt>
                <c:pt idx="12">
                  <c:v>-3528.5999999999985</c:v>
                </c:pt>
                <c:pt idx="13">
                  <c:v>-4429.7599999999984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3-4839-908E-737FA3C127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82747904"/>
        <c:axId val="382748296"/>
      </c:lineChart>
      <c:catAx>
        <c:axId val="38274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2748296"/>
        <c:crosses val="autoZero"/>
        <c:auto val="1"/>
        <c:lblAlgn val="ctr"/>
        <c:lblOffset val="100"/>
        <c:noMultiLvlLbl val="0"/>
      </c:catAx>
      <c:valAx>
        <c:axId val="38274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27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Summa</a:t>
            </a:r>
            <a:r>
              <a:rPr lang="sv-SE" baseline="0"/>
              <a:t> energiförbrukning / Summa m²BRA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6469830278685823E-2"/>
          <c:y val="0.11686098654708521"/>
          <c:w val="0.87737689672462238"/>
          <c:h val="0.75138001247601893"/>
        </c:manualLayout>
      </c:layout>
      <c:lineChart>
        <c:grouping val="standard"/>
        <c:varyColors val="0"/>
        <c:ser>
          <c:idx val="1"/>
          <c:order val="0"/>
          <c:tx>
            <c:strRef>
              <c:f>Sammanställning!$S$5</c:f>
              <c:strCache>
                <c:ptCount val="1"/>
                <c:pt idx="0">
                  <c:v>Summa MWh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Sammanställning!$A$6:$A$25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Sammanställning!$S$6:$S$25</c:f>
              <c:numCache>
                <c:formatCode>#,##0</c:formatCode>
                <c:ptCount val="20"/>
                <c:pt idx="0">
                  <c:v>16805.3</c:v>
                </c:pt>
                <c:pt idx="1">
                  <c:v>17399.7</c:v>
                </c:pt>
                <c:pt idx="2">
                  <c:v>19682.099999999999</c:v>
                </c:pt>
                <c:pt idx="3">
                  <c:v>20320</c:v>
                </c:pt>
                <c:pt idx="4">
                  <c:v>18523.2</c:v>
                </c:pt>
                <c:pt idx="5">
                  <c:v>18436.800000000003</c:v>
                </c:pt>
                <c:pt idx="6">
                  <c:v>19285.099999999999</c:v>
                </c:pt>
                <c:pt idx="7">
                  <c:v>19785.099999999999</c:v>
                </c:pt>
                <c:pt idx="8">
                  <c:v>16296.4</c:v>
                </c:pt>
                <c:pt idx="9">
                  <c:v>16191.4</c:v>
                </c:pt>
                <c:pt idx="10">
                  <c:v>15645.6</c:v>
                </c:pt>
                <c:pt idx="11">
                  <c:v>15876.6</c:v>
                </c:pt>
                <c:pt idx="12">
                  <c:v>16490.5</c:v>
                </c:pt>
                <c:pt idx="13">
                  <c:v>16820.400000000001</c:v>
                </c:pt>
                <c:pt idx="14">
                  <c:v>15579</c:v>
                </c:pt>
                <c:pt idx="15">
                  <c:v>15890</c:v>
                </c:pt>
                <c:pt idx="16">
                  <c:v>15683.1</c:v>
                </c:pt>
                <c:pt idx="17">
                  <c:v>14637.5</c:v>
                </c:pt>
                <c:pt idx="18">
                  <c:v>15756.5</c:v>
                </c:pt>
                <c:pt idx="19">
                  <c:v>14855.34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A-4720-9264-13A17AC44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760024"/>
        <c:axId val="779763632"/>
      </c:lineChart>
      <c:lineChart>
        <c:grouping val="standard"/>
        <c:varyColors val="0"/>
        <c:ser>
          <c:idx val="2"/>
          <c:order val="1"/>
          <c:tx>
            <c:strRef>
              <c:f>Sammanställning!$V$5</c:f>
              <c:strCache>
                <c:ptCount val="1"/>
                <c:pt idx="0">
                  <c:v>m³ BRA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Sammanställning!$A$6:$A$24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Sammanställning!$V$6:$V$25</c:f>
              <c:numCache>
                <c:formatCode>#\ ##0.0</c:formatCode>
                <c:ptCount val="20"/>
                <c:pt idx="0">
                  <c:v>76354.84</c:v>
                </c:pt>
                <c:pt idx="1">
                  <c:v>78842.399999999994</c:v>
                </c:pt>
                <c:pt idx="2">
                  <c:v>78842.399999999994</c:v>
                </c:pt>
                <c:pt idx="3">
                  <c:v>78842.399999999994</c:v>
                </c:pt>
                <c:pt idx="4">
                  <c:v>78842.399999999994</c:v>
                </c:pt>
                <c:pt idx="5">
                  <c:v>78842.399999999994</c:v>
                </c:pt>
                <c:pt idx="6">
                  <c:v>78842.399999999994</c:v>
                </c:pt>
                <c:pt idx="7">
                  <c:v>78842.399999999994</c:v>
                </c:pt>
                <c:pt idx="8">
                  <c:v>78842.399999999994</c:v>
                </c:pt>
                <c:pt idx="9">
                  <c:v>78842.399999999994</c:v>
                </c:pt>
                <c:pt idx="10">
                  <c:v>78842.399999999994</c:v>
                </c:pt>
                <c:pt idx="11" formatCode="General">
                  <c:v>83668.399999999994</c:v>
                </c:pt>
                <c:pt idx="12" formatCode="General">
                  <c:v>83668.399999999994</c:v>
                </c:pt>
                <c:pt idx="13" formatCode="General">
                  <c:v>83668.399999999994</c:v>
                </c:pt>
                <c:pt idx="14" formatCode="General">
                  <c:v>83668.399999999994</c:v>
                </c:pt>
                <c:pt idx="15" formatCode="General">
                  <c:v>83668.399999999994</c:v>
                </c:pt>
                <c:pt idx="16" formatCode="General">
                  <c:v>90764.4</c:v>
                </c:pt>
                <c:pt idx="17" formatCode="General">
                  <c:v>90764.4</c:v>
                </c:pt>
                <c:pt idx="18" formatCode="General">
                  <c:v>90764.4</c:v>
                </c:pt>
                <c:pt idx="19" formatCode="General">
                  <c:v>90764.4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A-4720-9264-13A17AC44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0968"/>
        <c:axId val="804300640"/>
      </c:lineChart>
      <c:catAx>
        <c:axId val="77976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9763632"/>
        <c:crosses val="autoZero"/>
        <c:auto val="1"/>
        <c:lblAlgn val="ctr"/>
        <c:lblOffset val="100"/>
        <c:noMultiLvlLbl val="0"/>
      </c:catAx>
      <c:valAx>
        <c:axId val="77976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9760024"/>
        <c:crosses val="autoZero"/>
        <c:crossBetween val="between"/>
      </c:valAx>
      <c:valAx>
        <c:axId val="804300640"/>
        <c:scaling>
          <c:orientation val="minMax"/>
        </c:scaling>
        <c:delete val="0"/>
        <c:axPos val="r"/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4300968"/>
        <c:crosses val="max"/>
        <c:crossBetween val="between"/>
      </c:valAx>
      <c:catAx>
        <c:axId val="804300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30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Energiförbrukning/m² BRA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Sammanställning!$Z$5</c:f>
              <c:strCache>
                <c:ptCount val="1"/>
                <c:pt idx="0">
                  <c:v>kWh/m²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Sammanställning!$A$6:$A$25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Sammanställning!$Z$6:$Z$25</c:f>
              <c:numCache>
                <c:formatCode>0.0</c:formatCode>
                <c:ptCount val="20"/>
                <c:pt idx="0">
                  <c:v>220.09475758183763</c:v>
                </c:pt>
                <c:pt idx="1">
                  <c:v>220.68962893062618</c:v>
                </c:pt>
                <c:pt idx="2">
                  <c:v>249.63851937536145</c:v>
                </c:pt>
                <c:pt idx="3">
                  <c:v>257.72934360191977</c:v>
                </c:pt>
                <c:pt idx="4">
                  <c:v>234.93957565979727</c:v>
                </c:pt>
                <c:pt idx="5">
                  <c:v>233.84371860826158</c:v>
                </c:pt>
                <c:pt idx="6">
                  <c:v>244.60315769180036</c:v>
                </c:pt>
                <c:pt idx="7">
                  <c:v>250.94492303633575</c:v>
                </c:pt>
                <c:pt idx="8">
                  <c:v>206.69588952137431</c:v>
                </c:pt>
                <c:pt idx="9">
                  <c:v>205.36411879902187</c:v>
                </c:pt>
                <c:pt idx="10">
                  <c:v>198.441447748927</c:v>
                </c:pt>
                <c:pt idx="11">
                  <c:v>189.75622815782305</c:v>
                </c:pt>
                <c:pt idx="12">
                  <c:v>197.09352634925492</c:v>
                </c:pt>
                <c:pt idx="13">
                  <c:v>201.0364725511663</c:v>
                </c:pt>
                <c:pt idx="14">
                  <c:v>186.19932973500153</c:v>
                </c:pt>
                <c:pt idx="15">
                  <c:v>189.916384202399</c:v>
                </c:pt>
                <c:pt idx="16">
                  <c:v>172.78911114930526</c:v>
                </c:pt>
                <c:pt idx="17">
                  <c:v>161.26917602055431</c:v>
                </c:pt>
                <c:pt idx="18">
                  <c:v>173.59779825570379</c:v>
                </c:pt>
                <c:pt idx="19">
                  <c:v>163.6692359559475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2-44D1-BE54-12925B867F21}"/>
            </c:ext>
          </c:extLst>
        </c:ser>
        <c:ser>
          <c:idx val="2"/>
          <c:order val="1"/>
          <c:tx>
            <c:strRef>
              <c:f>Sammanställning!$AB$4</c:f>
              <c:strCache>
                <c:ptCount val="1"/>
                <c:pt idx="0">
                  <c:v>Graddags-korrigerat kWh/m² JKPG Flyplats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Sammanställning!$A$6:$A$25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Sammanställning!$AB$6:$AB$25</c:f>
              <c:numCache>
                <c:formatCode>0.00%</c:formatCode>
                <c:ptCount val="20"/>
                <c:pt idx="4" formatCode="0.0">
                  <c:v>329.08104548734826</c:v>
                </c:pt>
                <c:pt idx="5" formatCode="0.0">
                  <c:v>315.57363670736612</c:v>
                </c:pt>
                <c:pt idx="6" formatCode="0.0">
                  <c:v>319.84774810556371</c:v>
                </c:pt>
                <c:pt idx="7" formatCode="0.0">
                  <c:v>248.4875130757265</c:v>
                </c:pt>
                <c:pt idx="8" formatCode="0.0">
                  <c:v>237.37642633228958</c:v>
                </c:pt>
                <c:pt idx="9" formatCode="0.0">
                  <c:v>237.29182164355728</c:v>
                </c:pt>
                <c:pt idx="10" formatCode="0.0">
                  <c:v>221.93354241899766</c:v>
                </c:pt>
                <c:pt idx="11" formatCode="0.0">
                  <c:v>258.51569775516646</c:v>
                </c:pt>
                <c:pt idx="12" formatCode="0.0">
                  <c:v>268.07117845434328</c:v>
                </c:pt>
                <c:pt idx="13" formatCode="0.0">
                  <c:v>253.80684289692755</c:v>
                </c:pt>
                <c:pt idx="14" formatCode="0.0">
                  <c:v>238.06685623150705</c:v>
                </c:pt>
                <c:pt idx="15" formatCode="0.0">
                  <c:v>235.90079722924276</c:v>
                </c:pt>
                <c:pt idx="16" formatCode="0.0">
                  <c:v>228.2980756036404</c:v>
                </c:pt>
                <c:pt idx="17" formatCode="0.0">
                  <c:v>223.91160105329303</c:v>
                </c:pt>
                <c:pt idx="18" formatCode="0.0">
                  <c:v>230.97561729428415</c:v>
                </c:pt>
                <c:pt idx="19" formatCode="0.0">
                  <c:v>209.00707564820885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32-44D1-BE54-12925B867F21}"/>
            </c:ext>
          </c:extLst>
        </c:ser>
        <c:ser>
          <c:idx val="0"/>
          <c:order val="2"/>
          <c:tx>
            <c:strRef>
              <c:f>Sammanställning!$AC$4</c:f>
              <c:strCache>
                <c:ptCount val="1"/>
                <c:pt idx="0">
                  <c:v>Graddags-korrigerat kWh/m² Campus JKPG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Sammanställning!$A$6:$A$25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Sammanställning!$AC$6:$AC$25</c:f>
              <c:numCache>
                <c:formatCode>0.00%</c:formatCode>
                <c:ptCount val="20"/>
                <c:pt idx="4" formatCode="0.0">
                  <c:v>261.29715775379498</c:v>
                </c:pt>
                <c:pt idx="5" formatCode="0.0">
                  <c:v>250.8677578449047</c:v>
                </c:pt>
                <c:pt idx="6" formatCode="0.0">
                  <c:v>254.52820762941829</c:v>
                </c:pt>
                <c:pt idx="7" formatCode="0.0">
                  <c:v>199.84899889240802</c:v>
                </c:pt>
                <c:pt idx="8" formatCode="0.0">
                  <c:v>189.76992554322709</c:v>
                </c:pt>
                <c:pt idx="9" formatCode="0.0">
                  <c:v>189.65875519989532</c:v>
                </c:pt>
                <c:pt idx="10" formatCode="0.0">
                  <c:v>177.60382705287563</c:v>
                </c:pt>
                <c:pt idx="11" formatCode="0.0">
                  <c:v>205.44657506189623</c:v>
                </c:pt>
                <c:pt idx="12" formatCode="0.0">
                  <c:v>213.05165816864672</c:v>
                </c:pt>
                <c:pt idx="13" formatCode="0.0">
                  <c:v>202.21429640447457</c:v>
                </c:pt>
                <c:pt idx="14" formatCode="0.0">
                  <c:v>189.59185420329342</c:v>
                </c:pt>
                <c:pt idx="15" formatCode="0.0">
                  <c:v>188.05408710162342</c:v>
                </c:pt>
                <c:pt idx="16" formatCode="0.0">
                  <c:v>181.61253798261947</c:v>
                </c:pt>
                <c:pt idx="17" formatCode="0.0">
                  <c:v>177.83933028877945</c:v>
                </c:pt>
                <c:pt idx="18" formatCode="0.0">
                  <c:v>183.70039914100425</c:v>
                </c:pt>
                <c:pt idx="19" formatCode="0.0">
                  <c:v>166.45607190471665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3332-44D1-BE54-12925B867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616488"/>
        <c:axId val="510616816"/>
      </c:lineChart>
      <c:catAx>
        <c:axId val="51061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10616816"/>
        <c:crosses val="autoZero"/>
        <c:auto val="1"/>
        <c:lblAlgn val="ctr"/>
        <c:lblOffset val="100"/>
        <c:noMultiLvlLbl val="0"/>
      </c:catAx>
      <c:valAx>
        <c:axId val="51061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10616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Mätslag EL (Mwh)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EL!$G$3</c:f>
              <c:strCache>
                <c:ptCount val="1"/>
                <c:pt idx="0">
                  <c:v>Hus A+B+C+D+E+H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EL!$G$5:$G$24</c:f>
              <c:numCache>
                <c:formatCode>#,##0</c:formatCode>
                <c:ptCount val="20"/>
                <c:pt idx="0">
                  <c:v>5181</c:v>
                </c:pt>
                <c:pt idx="1">
                  <c:v>5273</c:v>
                </c:pt>
                <c:pt idx="2">
                  <c:v>5552</c:v>
                </c:pt>
                <c:pt idx="3">
                  <c:v>5916</c:v>
                </c:pt>
                <c:pt idx="4">
                  <c:v>7283</c:v>
                </c:pt>
                <c:pt idx="5">
                  <c:v>7673</c:v>
                </c:pt>
                <c:pt idx="6">
                  <c:v>7866</c:v>
                </c:pt>
                <c:pt idx="7">
                  <c:v>6511</c:v>
                </c:pt>
                <c:pt idx="8">
                  <c:v>5530</c:v>
                </c:pt>
                <c:pt idx="9">
                  <c:v>5071</c:v>
                </c:pt>
                <c:pt idx="10">
                  <c:v>4787</c:v>
                </c:pt>
                <c:pt idx="11">
                  <c:v>4618</c:v>
                </c:pt>
                <c:pt idx="12">
                  <c:v>4489</c:v>
                </c:pt>
                <c:pt idx="13">
                  <c:v>4633</c:v>
                </c:pt>
                <c:pt idx="14">
                  <c:v>4553</c:v>
                </c:pt>
                <c:pt idx="15">
                  <c:v>4507</c:v>
                </c:pt>
                <c:pt idx="16">
                  <c:v>4301</c:v>
                </c:pt>
                <c:pt idx="17">
                  <c:v>4003</c:v>
                </c:pt>
                <c:pt idx="18">
                  <c:v>4194</c:v>
                </c:pt>
                <c:pt idx="19">
                  <c:v>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4-4503-B063-E5655094C051}"/>
            </c:ext>
          </c:extLst>
        </c:ser>
        <c:ser>
          <c:idx val="2"/>
          <c:order val="2"/>
          <c:tx>
            <c:strRef>
              <c:f>EL!$J$3</c:f>
              <c:strCache>
                <c:ptCount val="1"/>
                <c:pt idx="0">
                  <c:v>Hus F+G+I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EL!$J$5:$J$24</c:f>
              <c:numCache>
                <c:formatCode>#,##0</c:formatCode>
                <c:ptCount val="20"/>
                <c:pt idx="0">
                  <c:v>1776.2</c:v>
                </c:pt>
                <c:pt idx="1">
                  <c:v>1391.7</c:v>
                </c:pt>
                <c:pt idx="2">
                  <c:v>1409.1</c:v>
                </c:pt>
                <c:pt idx="3">
                  <c:v>1395</c:v>
                </c:pt>
                <c:pt idx="4">
                  <c:v>1591.5</c:v>
                </c:pt>
                <c:pt idx="5">
                  <c:v>1588.7</c:v>
                </c:pt>
                <c:pt idx="6">
                  <c:v>1547.5</c:v>
                </c:pt>
                <c:pt idx="7">
                  <c:v>1436.3</c:v>
                </c:pt>
                <c:pt idx="8">
                  <c:v>1389</c:v>
                </c:pt>
                <c:pt idx="9">
                  <c:v>1316</c:v>
                </c:pt>
                <c:pt idx="10">
                  <c:v>1200.0999999999999</c:v>
                </c:pt>
                <c:pt idx="11">
                  <c:v>1215.3</c:v>
                </c:pt>
                <c:pt idx="12">
                  <c:v>1206.2</c:v>
                </c:pt>
                <c:pt idx="13">
                  <c:v>1196.7</c:v>
                </c:pt>
                <c:pt idx="14">
                  <c:v>1151.4000000000001</c:v>
                </c:pt>
                <c:pt idx="15">
                  <c:v>1081.8</c:v>
                </c:pt>
                <c:pt idx="16">
                  <c:v>1102.7</c:v>
                </c:pt>
                <c:pt idx="17">
                  <c:v>953.9</c:v>
                </c:pt>
                <c:pt idx="18">
                  <c:v>915.2</c:v>
                </c:pt>
                <c:pt idx="19">
                  <c:v>944.5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14-4503-B063-E5655094C051}"/>
            </c:ext>
          </c:extLst>
        </c:ser>
        <c:ser>
          <c:idx val="3"/>
          <c:order val="3"/>
          <c:tx>
            <c:strRef>
              <c:f>EL!$M$3</c:f>
              <c:strCache>
                <c:ptCount val="1"/>
                <c:pt idx="0">
                  <c:v>Hus J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EL!$M$5:$M$24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77.900000000000006</c:v>
                </c:pt>
                <c:pt idx="11" formatCode="General">
                  <c:v>353.7</c:v>
                </c:pt>
                <c:pt idx="12" formatCode="General">
                  <c:v>329.8</c:v>
                </c:pt>
                <c:pt idx="13" formatCode="General">
                  <c:v>338.3</c:v>
                </c:pt>
                <c:pt idx="14" formatCode="General">
                  <c:v>386.6</c:v>
                </c:pt>
                <c:pt idx="15" formatCode="General">
                  <c:v>356.2</c:v>
                </c:pt>
                <c:pt idx="16" formatCode="General">
                  <c:v>393.3</c:v>
                </c:pt>
                <c:pt idx="17" formatCode="General">
                  <c:v>387.1</c:v>
                </c:pt>
                <c:pt idx="18" formatCode="General">
                  <c:v>334.8</c:v>
                </c:pt>
                <c:pt idx="19" formatCode="General">
                  <c:v>377.5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14-4503-B063-E5655094C051}"/>
            </c:ext>
          </c:extLst>
        </c:ser>
        <c:ser>
          <c:idx val="4"/>
          <c:order val="4"/>
          <c:tx>
            <c:strRef>
              <c:f>EL!$P$3</c:f>
              <c:strCache>
                <c:ptCount val="1"/>
                <c:pt idx="0">
                  <c:v>Hus 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EL!$P$5:$P$24</c:f>
              <c:numCache>
                <c:formatCode>General</c:formatCode>
                <c:ptCount val="20"/>
                <c:pt idx="16" formatCode="0.0">
                  <c:v>163</c:v>
                </c:pt>
                <c:pt idx="17" formatCode="0.0">
                  <c:v>192</c:v>
                </c:pt>
                <c:pt idx="18" formatCode="0.0">
                  <c:v>213.9</c:v>
                </c:pt>
                <c:pt idx="19" formatCode="0.0">
                  <c:v>253.2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0-440E-B332-37727DF26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5037888"/>
        <c:axId val="455036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EL!$D$3</c15:sqref>
                        </c15:formulaRef>
                      </c:ext>
                    </c:extLst>
                    <c:strCache>
                      <c:ptCount val="1"/>
                      <c:pt idx="0">
                        <c:v>Totalt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EL!$A$5:$A$24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EL!$D$5:$D$24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6957.2</c:v>
                      </c:pt>
                      <c:pt idx="1">
                        <c:v>6664.7</c:v>
                      </c:pt>
                      <c:pt idx="2">
                        <c:v>6961.1</c:v>
                      </c:pt>
                      <c:pt idx="3">
                        <c:v>7311</c:v>
                      </c:pt>
                      <c:pt idx="4">
                        <c:v>8874.5</c:v>
                      </c:pt>
                      <c:pt idx="5">
                        <c:v>9261.7000000000007</c:v>
                      </c:pt>
                      <c:pt idx="6">
                        <c:v>9413.5</c:v>
                      </c:pt>
                      <c:pt idx="7">
                        <c:v>7947.3</c:v>
                      </c:pt>
                      <c:pt idx="8">
                        <c:v>6919</c:v>
                      </c:pt>
                      <c:pt idx="9">
                        <c:v>6387</c:v>
                      </c:pt>
                      <c:pt idx="10">
                        <c:v>5987.1</c:v>
                      </c:pt>
                      <c:pt idx="11">
                        <c:v>6187</c:v>
                      </c:pt>
                      <c:pt idx="12">
                        <c:v>6025</c:v>
                      </c:pt>
                      <c:pt idx="13">
                        <c:v>6168</c:v>
                      </c:pt>
                      <c:pt idx="14">
                        <c:v>6091</c:v>
                      </c:pt>
                      <c:pt idx="15">
                        <c:v>5945</c:v>
                      </c:pt>
                      <c:pt idx="16">
                        <c:v>5960</c:v>
                      </c:pt>
                      <c:pt idx="17">
                        <c:v>5536</c:v>
                      </c:pt>
                      <c:pt idx="18">
                        <c:v>5657.9</c:v>
                      </c:pt>
                      <c:pt idx="19">
                        <c:v>5537.2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814-4503-B063-E5655094C051}"/>
                  </c:ext>
                </c:extLst>
              </c15:ser>
            </c15:filteredBarSeries>
          </c:ext>
        </c:extLst>
      </c:barChart>
      <c:catAx>
        <c:axId val="4550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36712"/>
        <c:crosses val="autoZero"/>
        <c:auto val="1"/>
        <c:lblAlgn val="ctr"/>
        <c:lblOffset val="100"/>
        <c:noMultiLvlLbl val="0"/>
      </c:catAx>
      <c:valAx>
        <c:axId val="45503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3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kWh/m²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EL!$G$3</c:f>
              <c:strCache>
                <c:ptCount val="1"/>
                <c:pt idx="0">
                  <c:v>Hus A+B+C+D+E+H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EL!$I$5:$I$24</c:f>
              <c:numCache>
                <c:formatCode>0.00</c:formatCode>
                <c:ptCount val="20"/>
                <c:pt idx="0">
                  <c:v>86.49271297641107</c:v>
                </c:pt>
                <c:pt idx="1">
                  <c:v>88.028580491143714</c:v>
                </c:pt>
                <c:pt idx="2">
                  <c:v>92.686265671691615</c:v>
                </c:pt>
                <c:pt idx="3">
                  <c:v>98.762958882155544</c:v>
                </c:pt>
                <c:pt idx="4">
                  <c:v>121.58394684562862</c:v>
                </c:pt>
                <c:pt idx="5">
                  <c:v>128.09468957112568</c:v>
                </c:pt>
                <c:pt idx="6">
                  <c:v>131.31667250964091</c:v>
                </c:pt>
                <c:pt idx="7">
                  <c:v>108.69601509156774</c:v>
                </c:pt>
                <c:pt idx="8">
                  <c:v>92.318993005125122</c:v>
                </c:pt>
                <c:pt idx="9">
                  <c:v>84.656349643578565</c:v>
                </c:pt>
                <c:pt idx="10">
                  <c:v>79.915193402447372</c:v>
                </c:pt>
                <c:pt idx="11">
                  <c:v>77.093871554731976</c:v>
                </c:pt>
                <c:pt idx="12">
                  <c:v>74.940318191682934</c:v>
                </c:pt>
                <c:pt idx="13">
                  <c:v>77.344284736481853</c:v>
                </c:pt>
                <c:pt idx="14">
                  <c:v>76.008747767149131</c:v>
                </c:pt>
                <c:pt idx="15">
                  <c:v>75.24081400978281</c:v>
                </c:pt>
                <c:pt idx="16">
                  <c:v>71.801806313751015</c:v>
                </c:pt>
                <c:pt idx="17">
                  <c:v>66.826931102986592</c:v>
                </c:pt>
                <c:pt idx="18">
                  <c:v>70.015525617268494</c:v>
                </c:pt>
                <c:pt idx="19">
                  <c:v>66.142468406203562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D-4528-A2A3-1CB4E64F69BA}"/>
            </c:ext>
          </c:extLst>
        </c:ser>
        <c:ser>
          <c:idx val="1"/>
          <c:order val="1"/>
          <c:tx>
            <c:strRef>
              <c:f>EL!$J$3</c:f>
              <c:strCache>
                <c:ptCount val="1"/>
                <c:pt idx="0">
                  <c:v>Hus F+G+I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EL!$L$5:$L$24</c:f>
              <c:numCache>
                <c:formatCode>0.0</c:formatCode>
                <c:ptCount val="20"/>
                <c:pt idx="0">
                  <c:v>93.775407845414719</c:v>
                </c:pt>
                <c:pt idx="1">
                  <c:v>73.475529275117481</c:v>
                </c:pt>
                <c:pt idx="2">
                  <c:v>74.394171374267458</c:v>
                </c:pt>
                <c:pt idx="3">
                  <c:v>73.649754500818332</c:v>
                </c:pt>
                <c:pt idx="4">
                  <c:v>84.024074758460486</c:v>
                </c:pt>
                <c:pt idx="5">
                  <c:v>83.876247294229458</c:v>
                </c:pt>
                <c:pt idx="6">
                  <c:v>81.701071749115684</c:v>
                </c:pt>
                <c:pt idx="7">
                  <c:v>75.830209598226077</c:v>
                </c:pt>
                <c:pt idx="8">
                  <c:v>73.332981363180409</c:v>
                </c:pt>
                <c:pt idx="9">
                  <c:v>69.478908188585606</c:v>
                </c:pt>
                <c:pt idx="10">
                  <c:v>63.359907079879626</c:v>
                </c:pt>
                <c:pt idx="11">
                  <c:v>64.162399028562376</c:v>
                </c:pt>
                <c:pt idx="12">
                  <c:v>63.681959769811527</c:v>
                </c:pt>
                <c:pt idx="13">
                  <c:v>63.180402301884804</c:v>
                </c:pt>
                <c:pt idx="14">
                  <c:v>60.788765112718451</c:v>
                </c:pt>
                <c:pt idx="15">
                  <c:v>57.114196716118471</c:v>
                </c:pt>
                <c:pt idx="16">
                  <c:v>58.217623145557262</c:v>
                </c:pt>
                <c:pt idx="17">
                  <c:v>50.361649332136636</c:v>
                </c:pt>
                <c:pt idx="18">
                  <c:v>48.318462594372001</c:v>
                </c:pt>
                <c:pt idx="19">
                  <c:v>49.865371416503883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D-4528-A2A3-1CB4E64F69BA}"/>
            </c:ext>
          </c:extLst>
        </c:ser>
        <c:ser>
          <c:idx val="2"/>
          <c:order val="2"/>
          <c:tx>
            <c:strRef>
              <c:f>EL!$M$3</c:f>
              <c:strCache>
                <c:ptCount val="1"/>
                <c:pt idx="0">
                  <c:v>Hus J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EL!$O$5:$O$24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">
                  <c:v>46.119235095613064</c:v>
                </c:pt>
                <c:pt idx="11" formatCode="0.00">
                  <c:v>73.290509738914224</c:v>
                </c:pt>
                <c:pt idx="12" formatCode="0.00">
                  <c:v>68.33816825528389</c:v>
                </c:pt>
                <c:pt idx="13" formatCode="0.00">
                  <c:v>70.099461251554089</c:v>
                </c:pt>
                <c:pt idx="14" formatCode="0.00">
                  <c:v>80.107749689183606</c:v>
                </c:pt>
                <c:pt idx="15" formatCode="0.00">
                  <c:v>73.808537090758392</c:v>
                </c:pt>
                <c:pt idx="16" formatCode="0.00">
                  <c:v>81.496062992125999</c:v>
                </c:pt>
                <c:pt idx="17" formatCode="0.00">
                  <c:v>80.21135515955244</c:v>
                </c:pt>
                <c:pt idx="18" formatCode="0.00">
                  <c:v>69.37422295897224</c:v>
                </c:pt>
                <c:pt idx="19" formatCode="0.00">
                  <c:v>78.222130128470795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D-4528-A2A3-1CB4E64F69BA}"/>
            </c:ext>
          </c:extLst>
        </c:ser>
        <c:ser>
          <c:idx val="3"/>
          <c:order val="3"/>
          <c:tx>
            <c:strRef>
              <c:f>EL!$P$3</c:f>
              <c:strCache>
                <c:ptCount val="1"/>
                <c:pt idx="0">
                  <c:v>Hus K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EL!$R$5:$R$24</c:f>
              <c:numCache>
                <c:formatCode>General</c:formatCode>
                <c:ptCount val="20"/>
                <c:pt idx="16" formatCode="0.00">
                  <c:v>22.970687711386695</c:v>
                </c:pt>
                <c:pt idx="17" formatCode="0.00">
                  <c:v>27.057497181510708</c:v>
                </c:pt>
                <c:pt idx="18" formatCode="0.00">
                  <c:v>30.143742953776776</c:v>
                </c:pt>
                <c:pt idx="19" formatCode="0.00">
                  <c:v>35.682074408117245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8-40A5-9700-94D1B6C51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5038280"/>
        <c:axId val="455043768"/>
      </c:barChart>
      <c:catAx>
        <c:axId val="455038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43768"/>
        <c:crosses val="autoZero"/>
        <c:auto val="1"/>
        <c:lblAlgn val="ctr"/>
        <c:lblOffset val="100"/>
        <c:noMultiLvlLbl val="0"/>
      </c:catAx>
      <c:valAx>
        <c:axId val="45504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38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Elförbrukning totalt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EL!$G$3</c:f>
              <c:strCache>
                <c:ptCount val="1"/>
                <c:pt idx="0">
                  <c:v>Hus A+B+C+D+E+H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EL!$G$5:$G$24</c:f>
              <c:numCache>
                <c:formatCode>#,##0</c:formatCode>
                <c:ptCount val="20"/>
                <c:pt idx="0">
                  <c:v>5181</c:v>
                </c:pt>
                <c:pt idx="1">
                  <c:v>5273</c:v>
                </c:pt>
                <c:pt idx="2">
                  <c:v>5552</c:v>
                </c:pt>
                <c:pt idx="3">
                  <c:v>5916</c:v>
                </c:pt>
                <c:pt idx="4">
                  <c:v>7283</c:v>
                </c:pt>
                <c:pt idx="5">
                  <c:v>7673</c:v>
                </c:pt>
                <c:pt idx="6">
                  <c:v>7866</c:v>
                </c:pt>
                <c:pt idx="7">
                  <c:v>6511</c:v>
                </c:pt>
                <c:pt idx="8">
                  <c:v>5530</c:v>
                </c:pt>
                <c:pt idx="9">
                  <c:v>5071</c:v>
                </c:pt>
                <c:pt idx="10">
                  <c:v>4787</c:v>
                </c:pt>
                <c:pt idx="11">
                  <c:v>4618</c:v>
                </c:pt>
                <c:pt idx="12">
                  <c:v>4489</c:v>
                </c:pt>
                <c:pt idx="13">
                  <c:v>4633</c:v>
                </c:pt>
                <c:pt idx="14">
                  <c:v>4553</c:v>
                </c:pt>
                <c:pt idx="15">
                  <c:v>4507</c:v>
                </c:pt>
                <c:pt idx="16">
                  <c:v>4301</c:v>
                </c:pt>
                <c:pt idx="17">
                  <c:v>4003</c:v>
                </c:pt>
                <c:pt idx="18">
                  <c:v>4194</c:v>
                </c:pt>
                <c:pt idx="19">
                  <c:v>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5-4160-AE88-E5BAF4DFC019}"/>
            </c:ext>
          </c:extLst>
        </c:ser>
        <c:ser>
          <c:idx val="2"/>
          <c:order val="1"/>
          <c:tx>
            <c:strRef>
              <c:f>EL!$J$3</c:f>
              <c:strCache>
                <c:ptCount val="1"/>
                <c:pt idx="0">
                  <c:v>Hus F+G+I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EL!$J$5:$J$24</c:f>
              <c:numCache>
                <c:formatCode>#,##0</c:formatCode>
                <c:ptCount val="20"/>
                <c:pt idx="0">
                  <c:v>1776.2</c:v>
                </c:pt>
                <c:pt idx="1">
                  <c:v>1391.7</c:v>
                </c:pt>
                <c:pt idx="2">
                  <c:v>1409.1</c:v>
                </c:pt>
                <c:pt idx="3">
                  <c:v>1395</c:v>
                </c:pt>
                <c:pt idx="4">
                  <c:v>1591.5</c:v>
                </c:pt>
                <c:pt idx="5">
                  <c:v>1588.7</c:v>
                </c:pt>
                <c:pt idx="6">
                  <c:v>1547.5</c:v>
                </c:pt>
                <c:pt idx="7">
                  <c:v>1436.3</c:v>
                </c:pt>
                <c:pt idx="8">
                  <c:v>1389</c:v>
                </c:pt>
                <c:pt idx="9">
                  <c:v>1316</c:v>
                </c:pt>
                <c:pt idx="10">
                  <c:v>1200.0999999999999</c:v>
                </c:pt>
                <c:pt idx="11">
                  <c:v>1215.3</c:v>
                </c:pt>
                <c:pt idx="12">
                  <c:v>1206.2</c:v>
                </c:pt>
                <c:pt idx="13">
                  <c:v>1196.7</c:v>
                </c:pt>
                <c:pt idx="14">
                  <c:v>1151.4000000000001</c:v>
                </c:pt>
                <c:pt idx="15">
                  <c:v>1081.8</c:v>
                </c:pt>
                <c:pt idx="16">
                  <c:v>1102.7</c:v>
                </c:pt>
                <c:pt idx="17">
                  <c:v>953.9</c:v>
                </c:pt>
                <c:pt idx="18">
                  <c:v>915.2</c:v>
                </c:pt>
                <c:pt idx="19">
                  <c:v>944.5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5-4160-AE88-E5BAF4DFC019}"/>
            </c:ext>
          </c:extLst>
        </c:ser>
        <c:ser>
          <c:idx val="3"/>
          <c:order val="2"/>
          <c:tx>
            <c:strRef>
              <c:f>EL!$M$3</c:f>
              <c:strCache>
                <c:ptCount val="1"/>
                <c:pt idx="0">
                  <c:v>Hus J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EL!$M$5:$M$24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77.900000000000006</c:v>
                </c:pt>
                <c:pt idx="11" formatCode="General">
                  <c:v>353.7</c:v>
                </c:pt>
                <c:pt idx="12" formatCode="General">
                  <c:v>329.8</c:v>
                </c:pt>
                <c:pt idx="13" formatCode="General">
                  <c:v>338.3</c:v>
                </c:pt>
                <c:pt idx="14" formatCode="General">
                  <c:v>386.6</c:v>
                </c:pt>
                <c:pt idx="15" formatCode="General">
                  <c:v>356.2</c:v>
                </c:pt>
                <c:pt idx="16" formatCode="General">
                  <c:v>393.3</c:v>
                </c:pt>
                <c:pt idx="17" formatCode="General">
                  <c:v>387.1</c:v>
                </c:pt>
                <c:pt idx="18" formatCode="General">
                  <c:v>334.8</c:v>
                </c:pt>
                <c:pt idx="19" formatCode="General">
                  <c:v>377.5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5-4160-AE88-E5BAF4DFC019}"/>
            </c:ext>
          </c:extLst>
        </c:ser>
        <c:ser>
          <c:idx val="4"/>
          <c:order val="3"/>
          <c:tx>
            <c:strRef>
              <c:f>EL!$P$3</c:f>
              <c:strCache>
                <c:ptCount val="1"/>
                <c:pt idx="0">
                  <c:v>Hus K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EL!$A$5:$A$24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EL!$P$5:$P$24</c:f>
              <c:numCache>
                <c:formatCode>General</c:formatCode>
                <c:ptCount val="20"/>
                <c:pt idx="16" formatCode="0.0">
                  <c:v>163</c:v>
                </c:pt>
                <c:pt idx="17" formatCode="0.0">
                  <c:v>192</c:v>
                </c:pt>
                <c:pt idx="18" formatCode="0.0">
                  <c:v>213.9</c:v>
                </c:pt>
                <c:pt idx="19" formatCode="0.0">
                  <c:v>253.2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D5-4160-AE88-E5BAF4DF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3943984"/>
        <c:axId val="833942672"/>
      </c:barChart>
      <c:catAx>
        <c:axId val="8339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3942672"/>
        <c:crosses val="autoZero"/>
        <c:auto val="1"/>
        <c:lblAlgn val="ctr"/>
        <c:lblOffset val="100"/>
        <c:noMultiLvlLbl val="0"/>
      </c:catAx>
      <c:valAx>
        <c:axId val="833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394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Fjärrvärme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VÄRME!$K$3</c:f>
              <c:strCache>
                <c:ptCount val="1"/>
                <c:pt idx="0">
                  <c:v>Hus A+B+C+D+E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VÄRME!$K$5:$K$24</c:f>
              <c:numCache>
                <c:formatCode>#,##0</c:formatCode>
                <c:ptCount val="20"/>
                <c:pt idx="0">
                  <c:v>2567</c:v>
                </c:pt>
                <c:pt idx="1">
                  <c:v>4026</c:v>
                </c:pt>
                <c:pt idx="2">
                  <c:v>3963</c:v>
                </c:pt>
                <c:pt idx="3">
                  <c:v>5377</c:v>
                </c:pt>
                <c:pt idx="4">
                  <c:v>3767</c:v>
                </c:pt>
                <c:pt idx="5">
                  <c:v>3234</c:v>
                </c:pt>
                <c:pt idx="6">
                  <c:v>3777</c:v>
                </c:pt>
                <c:pt idx="7">
                  <c:v>4964</c:v>
                </c:pt>
                <c:pt idx="8">
                  <c:v>3560</c:v>
                </c:pt>
                <c:pt idx="9">
                  <c:v>3492</c:v>
                </c:pt>
                <c:pt idx="10">
                  <c:v>3550</c:v>
                </c:pt>
                <c:pt idx="11">
                  <c:v>3381</c:v>
                </c:pt>
                <c:pt idx="12">
                  <c:v>3793</c:v>
                </c:pt>
                <c:pt idx="13">
                  <c:v>3994</c:v>
                </c:pt>
                <c:pt idx="14">
                  <c:v>3586</c:v>
                </c:pt>
                <c:pt idx="15">
                  <c:v>3599</c:v>
                </c:pt>
                <c:pt idx="16">
                  <c:v>3425.6</c:v>
                </c:pt>
                <c:pt idx="17">
                  <c:v>3169</c:v>
                </c:pt>
                <c:pt idx="18">
                  <c:v>3671</c:v>
                </c:pt>
                <c:pt idx="19">
                  <c:v>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E-4425-8BDE-4C5668E4AAD2}"/>
            </c:ext>
          </c:extLst>
        </c:ser>
        <c:ser>
          <c:idx val="2"/>
          <c:order val="1"/>
          <c:tx>
            <c:strRef>
              <c:f>VÄRME!$P$3</c:f>
              <c:strCache>
                <c:ptCount val="1"/>
                <c:pt idx="0">
                  <c:v>Hus H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VÄRME!$P$5:$P$24</c:f>
              <c:numCache>
                <c:formatCode>#,##0</c:formatCode>
                <c:ptCount val="20"/>
                <c:pt idx="0">
                  <c:v>1367.1999999999998</c:v>
                </c:pt>
                <c:pt idx="1">
                  <c:v>1268</c:v>
                </c:pt>
                <c:pt idx="2">
                  <c:v>1415</c:v>
                </c:pt>
                <c:pt idx="3">
                  <c:v>1444</c:v>
                </c:pt>
                <c:pt idx="4">
                  <c:v>1333</c:v>
                </c:pt>
                <c:pt idx="5">
                  <c:v>1310</c:v>
                </c:pt>
                <c:pt idx="6">
                  <c:v>1527</c:v>
                </c:pt>
                <c:pt idx="7">
                  <c:v>1774</c:v>
                </c:pt>
                <c:pt idx="8">
                  <c:v>1437</c:v>
                </c:pt>
                <c:pt idx="9">
                  <c:v>1654</c:v>
                </c:pt>
                <c:pt idx="10">
                  <c:v>1679</c:v>
                </c:pt>
                <c:pt idx="11">
                  <c:v>1630</c:v>
                </c:pt>
                <c:pt idx="12">
                  <c:v>1787</c:v>
                </c:pt>
                <c:pt idx="13">
                  <c:v>1624</c:v>
                </c:pt>
                <c:pt idx="14">
                  <c:v>1310</c:v>
                </c:pt>
                <c:pt idx="15">
                  <c:v>1383</c:v>
                </c:pt>
                <c:pt idx="16">
                  <c:v>1447</c:v>
                </c:pt>
                <c:pt idx="17">
                  <c:v>1273</c:v>
                </c:pt>
                <c:pt idx="18">
                  <c:v>1419</c:v>
                </c:pt>
                <c:pt idx="19">
                  <c:v>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E-4425-8BDE-4C5668E4AAD2}"/>
            </c:ext>
          </c:extLst>
        </c:ser>
        <c:ser>
          <c:idx val="3"/>
          <c:order val="2"/>
          <c:tx>
            <c:strRef>
              <c:f>VÄRME!$U$3</c:f>
              <c:strCache>
                <c:ptCount val="1"/>
                <c:pt idx="0">
                  <c:v>Hus F+G+I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VÄRME!$U$5:$U$24</c:f>
              <c:numCache>
                <c:formatCode>#,##0</c:formatCode>
                <c:ptCount val="20"/>
                <c:pt idx="0">
                  <c:v>3952.8999999999996</c:v>
                </c:pt>
                <c:pt idx="1">
                  <c:v>2630</c:v>
                </c:pt>
                <c:pt idx="2">
                  <c:v>2864</c:v>
                </c:pt>
                <c:pt idx="3">
                  <c:v>2119</c:v>
                </c:pt>
                <c:pt idx="4">
                  <c:v>1908</c:v>
                </c:pt>
                <c:pt idx="5">
                  <c:v>1828</c:v>
                </c:pt>
                <c:pt idx="6">
                  <c:v>1886</c:v>
                </c:pt>
                <c:pt idx="7">
                  <c:v>2496</c:v>
                </c:pt>
                <c:pt idx="8">
                  <c:v>1956</c:v>
                </c:pt>
                <c:pt idx="9">
                  <c:v>2181</c:v>
                </c:pt>
                <c:pt idx="10">
                  <c:v>2130.1</c:v>
                </c:pt>
                <c:pt idx="11">
                  <c:v>1959.7</c:v>
                </c:pt>
                <c:pt idx="12">
                  <c:v>2067.1999999999998</c:v>
                </c:pt>
                <c:pt idx="13">
                  <c:v>2164.9</c:v>
                </c:pt>
                <c:pt idx="14">
                  <c:v>1987.4</c:v>
                </c:pt>
                <c:pt idx="15">
                  <c:v>2121</c:v>
                </c:pt>
                <c:pt idx="16">
                  <c:v>2045</c:v>
                </c:pt>
                <c:pt idx="17">
                  <c:v>2034.8</c:v>
                </c:pt>
                <c:pt idx="18">
                  <c:v>2236.8000000000002</c:v>
                </c:pt>
                <c:pt idx="19">
                  <c:v>1959.7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3E-4425-8BDE-4C5668E4AAD2}"/>
            </c:ext>
          </c:extLst>
        </c:ser>
        <c:ser>
          <c:idx val="0"/>
          <c:order val="3"/>
          <c:tx>
            <c:strRef>
              <c:f>VÄRME!$Z$3</c:f>
              <c:strCache>
                <c:ptCount val="1"/>
                <c:pt idx="0">
                  <c:v>Hus J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VÄRME!$Z$5:$Z$24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103.9</c:v>
                </c:pt>
                <c:pt idx="11" formatCode="0.0">
                  <c:v>256.3</c:v>
                </c:pt>
                <c:pt idx="12" formatCode="0.0">
                  <c:v>304.8</c:v>
                </c:pt>
                <c:pt idx="13" formatCode="0.0">
                  <c:v>341.1</c:v>
                </c:pt>
                <c:pt idx="14" formatCode="0.0">
                  <c:v>340.6</c:v>
                </c:pt>
                <c:pt idx="15" formatCode="0.0">
                  <c:v>367</c:v>
                </c:pt>
                <c:pt idx="16" formatCode="0.0">
                  <c:v>340</c:v>
                </c:pt>
                <c:pt idx="17" formatCode="0.0">
                  <c:v>325.2</c:v>
                </c:pt>
                <c:pt idx="18" formatCode="0.0">
                  <c:v>354.2</c:v>
                </c:pt>
                <c:pt idx="19" formatCode="0.0">
                  <c:v>267.3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E-4425-8BDE-4C5668E4AAD2}"/>
            </c:ext>
          </c:extLst>
        </c:ser>
        <c:ser>
          <c:idx val="4"/>
          <c:order val="4"/>
          <c:tx>
            <c:strRef>
              <c:f>VÄRME!$AF$3</c:f>
              <c:strCache>
                <c:ptCount val="1"/>
                <c:pt idx="0">
                  <c:v>Hus 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VÄRME!$A$5:$A$24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VÄRME!$AF$5:$AF$24</c:f>
              <c:numCache>
                <c:formatCode>General</c:formatCode>
                <c:ptCount val="20"/>
                <c:pt idx="16" formatCode="0">
                  <c:v>314</c:v>
                </c:pt>
                <c:pt idx="17" formatCode="0">
                  <c:v>234</c:v>
                </c:pt>
                <c:pt idx="18" formatCode="0">
                  <c:v>345</c:v>
                </c:pt>
                <c:pt idx="19" formatCode="0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0-4DD1-B84B-D2C0079E1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5043376"/>
        <c:axId val="455041416"/>
      </c:barChart>
      <c:catAx>
        <c:axId val="45504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41416"/>
        <c:crosses val="autoZero"/>
        <c:auto val="1"/>
        <c:lblAlgn val="ctr"/>
        <c:lblOffset val="100"/>
        <c:noMultiLvlLbl val="0"/>
      </c:catAx>
      <c:valAx>
        <c:axId val="45504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5504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28</xdr:row>
      <xdr:rowOff>69849</xdr:rowOff>
    </xdr:from>
    <xdr:to>
      <xdr:col>13</xdr:col>
      <xdr:colOff>203200</xdr:colOff>
      <xdr:row>47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1587</xdr:colOff>
      <xdr:row>28</xdr:row>
      <xdr:rowOff>33337</xdr:rowOff>
    </xdr:from>
    <xdr:to>
      <xdr:col>32</xdr:col>
      <xdr:colOff>469900</xdr:colOff>
      <xdr:row>47</xdr:row>
      <xdr:rowOff>50800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228600</xdr:colOff>
      <xdr:row>28</xdr:row>
      <xdr:rowOff>57149</xdr:rowOff>
    </xdr:from>
    <xdr:to>
      <xdr:col>23</xdr:col>
      <xdr:colOff>660400</xdr:colOff>
      <xdr:row>47</xdr:row>
      <xdr:rowOff>47624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95249</xdr:colOff>
      <xdr:row>47</xdr:row>
      <xdr:rowOff>69850</xdr:rowOff>
    </xdr:from>
    <xdr:to>
      <xdr:col>15</xdr:col>
      <xdr:colOff>612774</xdr:colOff>
      <xdr:row>69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713B1A-AF2B-4B32-96E5-ADFE1E878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19048</xdr:colOff>
      <xdr:row>47</xdr:row>
      <xdr:rowOff>88900</xdr:rowOff>
    </xdr:from>
    <xdr:to>
      <xdr:col>32</xdr:col>
      <xdr:colOff>330199</xdr:colOff>
      <xdr:row>69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45887C-9E8A-4997-8F8F-A46D734D4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0</xdr:rowOff>
    </xdr:from>
    <xdr:to>
      <xdr:col>8</xdr:col>
      <xdr:colOff>619125</xdr:colOff>
      <xdr:row>47</xdr:row>
      <xdr:rowOff>38099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657225</xdr:colOff>
      <xdr:row>27</xdr:row>
      <xdr:rowOff>180975</xdr:rowOff>
    </xdr:from>
    <xdr:to>
      <xdr:col>18</xdr:col>
      <xdr:colOff>38100</xdr:colOff>
      <xdr:row>47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47</xdr:row>
      <xdr:rowOff>90487</xdr:rowOff>
    </xdr:from>
    <xdr:to>
      <xdr:col>18</xdr:col>
      <xdr:colOff>19050</xdr:colOff>
      <xdr:row>66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D90B96-61C9-4056-842D-EA5527857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4762</xdr:rowOff>
    </xdr:from>
    <xdr:to>
      <xdr:col>13</xdr:col>
      <xdr:colOff>523875</xdr:colOff>
      <xdr:row>45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28</xdr:row>
      <xdr:rowOff>19050</xdr:rowOff>
    </xdr:from>
    <xdr:to>
      <xdr:col>26</xdr:col>
      <xdr:colOff>628650</xdr:colOff>
      <xdr:row>45</xdr:row>
      <xdr:rowOff>166688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45</xdr:row>
      <xdr:rowOff>176211</xdr:rowOff>
    </xdr:from>
    <xdr:to>
      <xdr:col>13</xdr:col>
      <xdr:colOff>523875</xdr:colOff>
      <xdr:row>65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4761</xdr:colOff>
      <xdr:row>46</xdr:row>
      <xdr:rowOff>23811</xdr:rowOff>
    </xdr:from>
    <xdr:to>
      <xdr:col>26</xdr:col>
      <xdr:colOff>352424</xdr:colOff>
      <xdr:row>66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5E818D7-CF65-4E9E-904A-36F0A56EC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209550</xdr:colOff>
      <xdr:row>28</xdr:row>
      <xdr:rowOff>42862</xdr:rowOff>
    </xdr:from>
    <xdr:to>
      <xdr:col>35</xdr:col>
      <xdr:colOff>485775</xdr:colOff>
      <xdr:row>42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7277DB-045E-4C7B-BAA2-6A833AB5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28</xdr:row>
      <xdr:rowOff>9525</xdr:rowOff>
    </xdr:from>
    <xdr:to>
      <xdr:col>12</xdr:col>
      <xdr:colOff>676274</xdr:colOff>
      <xdr:row>47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57149</xdr:colOff>
      <xdr:row>47</xdr:row>
      <xdr:rowOff>161925</xdr:rowOff>
    </xdr:from>
    <xdr:to>
      <xdr:col>12</xdr:col>
      <xdr:colOff>676274</xdr:colOff>
      <xdr:row>69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28</xdr:row>
      <xdr:rowOff>4761</xdr:rowOff>
    </xdr:from>
    <xdr:to>
      <xdr:col>23</xdr:col>
      <xdr:colOff>1</xdr:colOff>
      <xdr:row>47</xdr:row>
      <xdr:rowOff>123824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30</xdr:row>
      <xdr:rowOff>19050</xdr:rowOff>
    </xdr:from>
    <xdr:to>
      <xdr:col>15</xdr:col>
      <xdr:colOff>771525</xdr:colOff>
      <xdr:row>49</xdr:row>
      <xdr:rowOff>123825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topLeftCell="A2" zoomScale="75" zoomScaleNormal="75" workbookViewId="0">
      <selection activeCell="I12" sqref="I12"/>
    </sheetView>
  </sheetViews>
  <sheetFormatPr defaultRowHeight="15" x14ac:dyDescent="0.25"/>
  <cols>
    <col min="1" max="1" width="6.85546875" style="14" customWidth="1"/>
    <col min="2" max="2" width="10.7109375" customWidth="1"/>
    <col min="3" max="3" width="10.42578125" customWidth="1"/>
    <col min="4" max="4" width="11.5703125" customWidth="1"/>
    <col min="5" max="12" width="10.7109375" customWidth="1"/>
    <col min="13" max="13" width="12.7109375" bestFit="1" customWidth="1"/>
    <col min="14" max="14" width="10.7109375" customWidth="1"/>
    <col min="15" max="15" width="10" customWidth="1"/>
    <col min="16" max="18" width="10.7109375" customWidth="1"/>
    <col min="19" max="19" width="10.42578125" customWidth="1"/>
    <col min="20" max="20" width="13.42578125" customWidth="1"/>
    <col min="21" max="21" width="11.42578125" customWidth="1"/>
    <col min="22" max="22" width="10.7109375" customWidth="1"/>
    <col min="23" max="23" width="11.85546875" bestFit="1" customWidth="1"/>
    <col min="24" max="25" width="10.7109375" bestFit="1" customWidth="1"/>
    <col min="26" max="26" width="10.7109375" customWidth="1"/>
    <col min="27" max="27" width="12.5703125" customWidth="1"/>
    <col min="28" max="29" width="12.140625" customWidth="1"/>
    <col min="30" max="30" width="12.140625" bestFit="1" customWidth="1"/>
    <col min="31" max="31" width="4.42578125" bestFit="1" customWidth="1"/>
    <col min="35" max="35" width="14.85546875" customWidth="1"/>
    <col min="36" max="36" width="13.28515625" bestFit="1" customWidth="1"/>
  </cols>
  <sheetData>
    <row r="1" spans="1:36" ht="27" thickBot="1" x14ac:dyDescent="0.45">
      <c r="B1" s="13" t="s">
        <v>22</v>
      </c>
    </row>
    <row r="2" spans="1:36" ht="43.5" customHeight="1" thickBot="1" x14ac:dyDescent="0.75">
      <c r="A2" s="247"/>
      <c r="B2" s="270" t="s">
        <v>1</v>
      </c>
      <c r="C2" s="271"/>
      <c r="D2" s="256" t="s">
        <v>116</v>
      </c>
      <c r="E2" s="272" t="s">
        <v>48</v>
      </c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4"/>
      <c r="T2" s="160"/>
      <c r="U2" s="160"/>
      <c r="W2" s="262" t="s">
        <v>69</v>
      </c>
      <c r="X2" s="263"/>
      <c r="Y2" s="263"/>
      <c r="Z2" s="263"/>
      <c r="AA2" s="264"/>
      <c r="AB2" s="161"/>
      <c r="AC2" s="161"/>
      <c r="AD2" s="161"/>
    </row>
    <row r="3" spans="1:36" ht="15" customHeight="1" thickBot="1" x14ac:dyDescent="0.3">
      <c r="A3" s="248"/>
      <c r="B3" s="268">
        <v>3861</v>
      </c>
      <c r="C3" s="269"/>
      <c r="D3" s="278"/>
      <c r="E3" s="275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7"/>
      <c r="T3" s="160"/>
      <c r="U3" s="160"/>
    </row>
    <row r="4" spans="1:36" s="46" customFormat="1" ht="30" customHeight="1" thickBot="1" x14ac:dyDescent="0.25">
      <c r="A4" s="45"/>
      <c r="B4" s="68"/>
      <c r="C4" s="69"/>
      <c r="D4" s="211">
        <f>AVERAGE(B10:B24)</f>
        <v>2970.3333333333335</v>
      </c>
      <c r="E4" s="259" t="s">
        <v>80</v>
      </c>
      <c r="F4" s="260"/>
      <c r="G4" s="260"/>
      <c r="H4" s="260"/>
      <c r="I4" s="240"/>
      <c r="J4" s="259" t="s">
        <v>81</v>
      </c>
      <c r="K4" s="260"/>
      <c r="L4" s="260"/>
      <c r="M4" s="261"/>
      <c r="N4" s="259" t="s">
        <v>82</v>
      </c>
      <c r="O4" s="260"/>
      <c r="P4" s="260"/>
      <c r="Q4" s="260"/>
      <c r="R4" s="261"/>
      <c r="S4" s="81"/>
      <c r="T4" s="81"/>
      <c r="U4" s="162" t="s">
        <v>99</v>
      </c>
      <c r="V4" s="81"/>
      <c r="W4" s="265" t="s">
        <v>83</v>
      </c>
      <c r="X4" s="266"/>
      <c r="Y4" s="267"/>
      <c r="Z4" s="81"/>
      <c r="AA4" s="81"/>
      <c r="AB4" s="256" t="s">
        <v>114</v>
      </c>
      <c r="AC4" s="256" t="s">
        <v>115</v>
      </c>
      <c r="AD4" s="81"/>
    </row>
    <row r="5" spans="1:36" s="179" customFormat="1" ht="51" x14ac:dyDescent="0.25">
      <c r="A5" s="174" t="s">
        <v>16</v>
      </c>
      <c r="B5" s="110" t="s">
        <v>45</v>
      </c>
      <c r="C5" s="175" t="s">
        <v>46</v>
      </c>
      <c r="D5" s="176" t="s">
        <v>113</v>
      </c>
      <c r="E5" s="110" t="s">
        <v>56</v>
      </c>
      <c r="F5" s="176" t="s">
        <v>79</v>
      </c>
      <c r="G5" s="176" t="s">
        <v>78</v>
      </c>
      <c r="H5" s="176" t="s">
        <v>60</v>
      </c>
      <c r="I5" s="175" t="s">
        <v>127</v>
      </c>
      <c r="J5" s="110" t="s">
        <v>57</v>
      </c>
      <c r="K5" s="176" t="s">
        <v>79</v>
      </c>
      <c r="L5" s="176" t="s">
        <v>78</v>
      </c>
      <c r="M5" s="175" t="s">
        <v>60</v>
      </c>
      <c r="N5" s="110" t="s">
        <v>58</v>
      </c>
      <c r="O5" s="176" t="s">
        <v>125</v>
      </c>
      <c r="P5" s="176" t="s">
        <v>79</v>
      </c>
      <c r="Q5" s="176" t="s">
        <v>78</v>
      </c>
      <c r="R5" s="175" t="s">
        <v>60</v>
      </c>
      <c r="S5" s="174" t="s">
        <v>59</v>
      </c>
      <c r="T5" s="174" t="s">
        <v>117</v>
      </c>
      <c r="U5" s="174" t="s">
        <v>97</v>
      </c>
      <c r="V5" s="177" t="s">
        <v>64</v>
      </c>
      <c r="W5" s="110" t="s">
        <v>60</v>
      </c>
      <c r="X5" s="176" t="s">
        <v>61</v>
      </c>
      <c r="Y5" s="175" t="s">
        <v>62</v>
      </c>
      <c r="Z5" s="177" t="s">
        <v>65</v>
      </c>
      <c r="AA5" s="174" t="s">
        <v>60</v>
      </c>
      <c r="AB5" s="257"/>
      <c r="AC5" s="257"/>
      <c r="AD5" s="210" t="s">
        <v>98</v>
      </c>
      <c r="AF5" s="180" t="s">
        <v>29</v>
      </c>
      <c r="AG5" s="253" t="s">
        <v>31</v>
      </c>
      <c r="AH5" s="254"/>
      <c r="AI5" s="181" t="s">
        <v>26</v>
      </c>
      <c r="AJ5" s="182" t="s">
        <v>68</v>
      </c>
    </row>
    <row r="6" spans="1:36" x14ac:dyDescent="0.25">
      <c r="A6" s="30">
        <v>2003</v>
      </c>
      <c r="B6" s="15" t="s">
        <v>10</v>
      </c>
      <c r="C6" s="43" t="s">
        <v>10</v>
      </c>
      <c r="D6" s="54" t="s">
        <v>10</v>
      </c>
      <c r="E6" s="87">
        <f>EL!D5</f>
        <v>6957.2</v>
      </c>
      <c r="F6" s="142"/>
      <c r="G6" s="142"/>
      <c r="H6" s="142" t="s">
        <v>10</v>
      </c>
      <c r="I6" s="243"/>
      <c r="J6" s="87">
        <f>KYLA!D5</f>
        <v>1961</v>
      </c>
      <c r="K6" s="142"/>
      <c r="L6" s="142"/>
      <c r="M6" s="56" t="s">
        <v>10</v>
      </c>
      <c r="N6" s="87">
        <f>VÄRME!D5</f>
        <v>7887.0999999999995</v>
      </c>
      <c r="O6" s="142"/>
      <c r="P6" s="142"/>
      <c r="Q6" s="142"/>
      <c r="R6" s="56" t="s">
        <v>10</v>
      </c>
      <c r="S6" s="95">
        <f t="shared" ref="S6:S23" si="0">E6+J6+N6</f>
        <v>16805.3</v>
      </c>
      <c r="T6" s="234"/>
      <c r="U6" s="54"/>
      <c r="V6" s="86">
        <f>AI6+AI7+AI8+AI9+AI10+AI11+AI12+AI13-2487.56</f>
        <v>76354.84</v>
      </c>
      <c r="W6" s="74"/>
      <c r="X6" s="14" t="s">
        <v>10</v>
      </c>
      <c r="Y6" s="43" t="s">
        <v>10</v>
      </c>
      <c r="Z6" s="91">
        <f>S6/V6*1000</f>
        <v>220.09475758183763</v>
      </c>
      <c r="AA6" s="82"/>
      <c r="AB6" s="82"/>
      <c r="AC6" s="82"/>
      <c r="AD6" s="96"/>
      <c r="AF6" s="166" t="s">
        <v>27</v>
      </c>
      <c r="AG6" s="249" t="s">
        <v>30</v>
      </c>
      <c r="AH6" s="250"/>
      <c r="AI6" s="165">
        <v>15046</v>
      </c>
      <c r="AJ6" s="167">
        <v>1997</v>
      </c>
    </row>
    <row r="7" spans="1:36" x14ac:dyDescent="0.25">
      <c r="A7" s="30">
        <v>2004</v>
      </c>
      <c r="B7" s="15" t="s">
        <v>10</v>
      </c>
      <c r="C7" s="43" t="s">
        <v>10</v>
      </c>
      <c r="D7" s="54" t="s">
        <v>10</v>
      </c>
      <c r="E7" s="87">
        <f>EL!D6</f>
        <v>6664.7</v>
      </c>
      <c r="F7" s="142"/>
      <c r="G7" s="142">
        <f>E7-E6</f>
        <v>-292.5</v>
      </c>
      <c r="H7" s="241">
        <f t="shared" ref="H7:H10" si="1">G7/E6</f>
        <v>-4.2042775829356636E-2</v>
      </c>
      <c r="I7" s="88"/>
      <c r="J7" s="87">
        <f>KYLA!D6</f>
        <v>2811</v>
      </c>
      <c r="K7" s="142"/>
      <c r="L7" s="142">
        <f>J7-J6</f>
        <v>850</v>
      </c>
      <c r="M7" s="134">
        <f t="shared" ref="M7:M11" si="2">L7/J7</f>
        <v>0.30238349341871218</v>
      </c>
      <c r="N7" s="87">
        <f>VÄRME!D6</f>
        <v>7924</v>
      </c>
      <c r="O7" s="142"/>
      <c r="P7" s="142"/>
      <c r="Q7" s="142">
        <f>N7-N6</f>
        <v>36.900000000000546</v>
      </c>
      <c r="R7" s="88">
        <f>1-(N6/N7)</f>
        <v>4.6567390206966319E-3</v>
      </c>
      <c r="S7" s="95">
        <f t="shared" si="0"/>
        <v>17399.7</v>
      </c>
      <c r="T7" s="234"/>
      <c r="U7" s="54" t="s">
        <v>10</v>
      </c>
      <c r="V7" s="86">
        <f>AI6+AI7+AI8+AI9+AI10+AI11+AI12+AI13</f>
        <v>78842.399999999994</v>
      </c>
      <c r="W7" s="75">
        <f>(S7/S6)-1</f>
        <v>3.5369794053066617E-2</v>
      </c>
      <c r="X7" s="14" t="s">
        <v>10</v>
      </c>
      <c r="Y7" s="43" t="s">
        <v>10</v>
      </c>
      <c r="Z7" s="91">
        <f t="shared" ref="Z7:Z20" si="3">S7/V7*1000</f>
        <v>220.68962893062618</v>
      </c>
      <c r="AA7" s="99">
        <f>(Z7/Z6)-1</f>
        <v>2.7027965378383367E-3</v>
      </c>
      <c r="AB7" s="99"/>
      <c r="AC7" s="99"/>
      <c r="AD7" s="96"/>
      <c r="AF7" s="166" t="s">
        <v>28</v>
      </c>
      <c r="AG7" s="249" t="s">
        <v>32</v>
      </c>
      <c r="AH7" s="250"/>
      <c r="AI7" s="165">
        <v>5466.5</v>
      </c>
      <c r="AJ7" s="167">
        <v>1997</v>
      </c>
    </row>
    <row r="8" spans="1:36" x14ac:dyDescent="0.25">
      <c r="A8" s="30">
        <v>2005</v>
      </c>
      <c r="B8" s="15" t="s">
        <v>10</v>
      </c>
      <c r="C8" s="43" t="s">
        <v>10</v>
      </c>
      <c r="D8" s="54" t="s">
        <v>10</v>
      </c>
      <c r="E8" s="87">
        <f>EL!D7</f>
        <v>6961.1</v>
      </c>
      <c r="F8" s="142"/>
      <c r="G8" s="142">
        <f t="shared" ref="G8:G17" si="4">E8-E7</f>
        <v>296.40000000000055</v>
      </c>
      <c r="H8" s="241">
        <f t="shared" si="1"/>
        <v>4.4473119570273313E-2</v>
      </c>
      <c r="I8" s="88"/>
      <c r="J8" s="87">
        <f>KYLA!D7</f>
        <v>4479</v>
      </c>
      <c r="K8" s="142"/>
      <c r="L8" s="142">
        <f t="shared" ref="L8:L17" si="5">J8-J7</f>
        <v>1668</v>
      </c>
      <c r="M8" s="134">
        <f t="shared" si="2"/>
        <v>0.3724045545880777</v>
      </c>
      <c r="N8" s="87">
        <f>VÄRME!D7</f>
        <v>8242</v>
      </c>
      <c r="O8" s="142"/>
      <c r="P8" s="142"/>
      <c r="Q8" s="142">
        <f t="shared" ref="Q8:Q17" si="6">N8-N7</f>
        <v>318</v>
      </c>
      <c r="R8" s="88">
        <f t="shared" ref="R8:R17" si="7">1-(N7/N8)</f>
        <v>3.8582868235865098E-2</v>
      </c>
      <c r="S8" s="95">
        <f t="shared" si="0"/>
        <v>19682.099999999999</v>
      </c>
      <c r="T8" s="234"/>
      <c r="U8" s="54" t="s">
        <v>10</v>
      </c>
      <c r="V8" s="86">
        <f>V7</f>
        <v>78842.399999999994</v>
      </c>
      <c r="W8" s="75">
        <f t="shared" ref="W8:W16" si="8">(S8/S7)-1</f>
        <v>0.13117467542543815</v>
      </c>
      <c r="X8" s="14" t="s">
        <v>10</v>
      </c>
      <c r="Y8" s="43" t="s">
        <v>10</v>
      </c>
      <c r="Z8" s="91">
        <f t="shared" si="3"/>
        <v>249.63851937536145</v>
      </c>
      <c r="AA8" s="99">
        <f t="shared" ref="AA8:AA20" si="9">(Z8/Z7)-1</f>
        <v>0.13117467542543815</v>
      </c>
      <c r="AB8" s="99"/>
      <c r="AC8" s="99"/>
      <c r="AD8" s="96"/>
      <c r="AF8" s="166" t="s">
        <v>33</v>
      </c>
      <c r="AG8" s="249" t="s">
        <v>36</v>
      </c>
      <c r="AH8" s="250"/>
      <c r="AI8" s="165">
        <v>3379.4</v>
      </c>
      <c r="AJ8" s="167">
        <v>2003</v>
      </c>
    </row>
    <row r="9" spans="1:36" x14ac:dyDescent="0.25">
      <c r="A9" s="30">
        <v>2006</v>
      </c>
      <c r="B9" s="15" t="s">
        <v>10</v>
      </c>
      <c r="C9" s="43" t="s">
        <v>10</v>
      </c>
      <c r="D9" s="54" t="s">
        <v>10</v>
      </c>
      <c r="E9" s="87">
        <f>EL!D8</f>
        <v>7311</v>
      </c>
      <c r="F9" s="142"/>
      <c r="G9" s="142">
        <f t="shared" si="4"/>
        <v>349.89999999999964</v>
      </c>
      <c r="H9" s="241">
        <f t="shared" si="1"/>
        <v>5.0265044317708354E-2</v>
      </c>
      <c r="I9" s="88"/>
      <c r="J9" s="87">
        <f>KYLA!D8</f>
        <v>4069</v>
      </c>
      <c r="K9" s="142"/>
      <c r="L9" s="142">
        <f t="shared" si="5"/>
        <v>-410</v>
      </c>
      <c r="M9" s="134">
        <f t="shared" si="2"/>
        <v>-0.10076185795035636</v>
      </c>
      <c r="N9" s="87">
        <f>VÄRME!D8</f>
        <v>8940</v>
      </c>
      <c r="O9" s="142"/>
      <c r="P9" s="142"/>
      <c r="Q9" s="142">
        <f t="shared" si="6"/>
        <v>698</v>
      </c>
      <c r="R9" s="88">
        <f t="shared" si="7"/>
        <v>7.8076062639821031E-2</v>
      </c>
      <c r="S9" s="95">
        <f t="shared" si="0"/>
        <v>20320</v>
      </c>
      <c r="T9" s="234"/>
      <c r="U9" s="54" t="s">
        <v>10</v>
      </c>
      <c r="V9" s="86">
        <f t="shared" ref="V9:V15" si="10">V8</f>
        <v>78842.399999999994</v>
      </c>
      <c r="W9" s="75">
        <f t="shared" si="8"/>
        <v>3.2410159485014356E-2</v>
      </c>
      <c r="X9" s="14" t="s">
        <v>10</v>
      </c>
      <c r="Y9" s="43" t="s">
        <v>10</v>
      </c>
      <c r="Z9" s="91">
        <f t="shared" si="3"/>
        <v>257.72934360191977</v>
      </c>
      <c r="AA9" s="99">
        <f t="shared" si="9"/>
        <v>3.2410159485014356E-2</v>
      </c>
      <c r="AB9" s="99"/>
      <c r="AC9" s="99"/>
      <c r="AD9" s="96"/>
      <c r="AF9" s="166" t="s">
        <v>35</v>
      </c>
      <c r="AG9" s="249" t="s">
        <v>34</v>
      </c>
      <c r="AH9" s="250"/>
      <c r="AI9" s="165">
        <v>17118.2</v>
      </c>
      <c r="AJ9" s="167" t="s">
        <v>66</v>
      </c>
    </row>
    <row r="10" spans="1:36" x14ac:dyDescent="0.25">
      <c r="A10" s="30">
        <v>2007</v>
      </c>
      <c r="B10" s="16">
        <v>2624</v>
      </c>
      <c r="C10" s="19">
        <f>B10/B3</f>
        <v>0.6796166796166796</v>
      </c>
      <c r="D10" s="209">
        <f>B10/$D$4</f>
        <v>0.88340253619122433</v>
      </c>
      <c r="E10" s="87">
        <f>EL!D9</f>
        <v>8874.5</v>
      </c>
      <c r="F10" s="142"/>
      <c r="G10" s="142">
        <f t="shared" si="4"/>
        <v>1563.5</v>
      </c>
      <c r="H10" s="241">
        <f t="shared" si="1"/>
        <v>0.21385583367528382</v>
      </c>
      <c r="I10" s="88"/>
      <c r="J10" s="87">
        <f>KYLA!D9</f>
        <v>2640.7000000000003</v>
      </c>
      <c r="K10" s="142"/>
      <c r="L10" s="142">
        <f t="shared" si="5"/>
        <v>-1428.2999999999997</v>
      </c>
      <c r="M10" s="134">
        <f t="shared" si="2"/>
        <v>-0.54087931230355568</v>
      </c>
      <c r="N10" s="87">
        <f>VÄRME!D9</f>
        <v>7008</v>
      </c>
      <c r="O10" s="21">
        <f>VÄRME!F9</f>
        <v>7794.2189024390245</v>
      </c>
      <c r="P10" s="142"/>
      <c r="Q10" s="142">
        <f t="shared" si="6"/>
        <v>-1932</v>
      </c>
      <c r="R10" s="88">
        <f t="shared" si="7"/>
        <v>-0.27568493150684925</v>
      </c>
      <c r="S10" s="95">
        <f t="shared" si="0"/>
        <v>18523.2</v>
      </c>
      <c r="T10" s="234">
        <f>O10+J10+E10</f>
        <v>19309.418902439025</v>
      </c>
      <c r="U10" s="54" t="s">
        <v>10</v>
      </c>
      <c r="V10" s="86">
        <f t="shared" si="10"/>
        <v>78842.399999999994</v>
      </c>
      <c r="W10" s="75">
        <f t="shared" si="8"/>
        <v>-8.8425196850393628E-2</v>
      </c>
      <c r="X10" s="14" t="s">
        <v>10</v>
      </c>
      <c r="Y10" s="43" t="s">
        <v>10</v>
      </c>
      <c r="Z10" s="91">
        <f t="shared" si="3"/>
        <v>234.93957565979727</v>
      </c>
      <c r="AA10" s="99">
        <f t="shared" si="9"/>
        <v>-8.8425196850393628E-2</v>
      </c>
      <c r="AB10" s="208">
        <f>((Z10-(Z10*0.15))/C10)+(Z10*0.15)</f>
        <v>329.08104548734826</v>
      </c>
      <c r="AC10" s="208">
        <f>((Z10-(Z10*0.15)))/D10+(Z10*0.15)</f>
        <v>261.29715775379498</v>
      </c>
      <c r="AD10" s="96"/>
      <c r="AF10" s="166" t="s">
        <v>37</v>
      </c>
      <c r="AG10" s="249" t="s">
        <v>42</v>
      </c>
      <c r="AH10" s="250"/>
      <c r="AI10" s="165">
        <v>722</v>
      </c>
      <c r="AJ10" s="167" t="s">
        <v>67</v>
      </c>
    </row>
    <row r="11" spans="1:36" x14ac:dyDescent="0.25">
      <c r="A11" s="30">
        <v>2008</v>
      </c>
      <c r="B11" s="16">
        <v>2736</v>
      </c>
      <c r="C11" s="19">
        <f>B11/B3</f>
        <v>0.70862470862470861</v>
      </c>
      <c r="D11" s="209">
        <f t="shared" ref="D11:D25" si="11">B11/$D$4</f>
        <v>0.92110874200426429</v>
      </c>
      <c r="E11" s="87">
        <f>EL!D10</f>
        <v>9261.7000000000007</v>
      </c>
      <c r="F11" s="142"/>
      <c r="G11" s="142">
        <f t="shared" si="4"/>
        <v>387.20000000000073</v>
      </c>
      <c r="H11" s="241">
        <f>G11/E10</f>
        <v>4.3630627077581918E-2</v>
      </c>
      <c r="I11" s="88"/>
      <c r="J11" s="87">
        <f>KYLA!D10</f>
        <v>2803.1</v>
      </c>
      <c r="K11" s="142"/>
      <c r="L11" s="142">
        <f t="shared" si="5"/>
        <v>162.39999999999964</v>
      </c>
      <c r="M11" s="134">
        <f t="shared" si="2"/>
        <v>5.7935856730048745E-2</v>
      </c>
      <c r="N11" s="87">
        <f>VÄRME!D10</f>
        <v>6372</v>
      </c>
      <c r="O11" s="21">
        <f>VÄRME!F10</f>
        <v>6835.8875000000007</v>
      </c>
      <c r="P11" s="142"/>
      <c r="Q11" s="142">
        <f t="shared" si="6"/>
        <v>-636</v>
      </c>
      <c r="R11" s="88">
        <f t="shared" si="7"/>
        <v>-9.9811676082862455E-2</v>
      </c>
      <c r="S11" s="95">
        <f t="shared" si="0"/>
        <v>18436.800000000003</v>
      </c>
      <c r="T11" s="234">
        <f t="shared" ref="T11:T25" si="12">O11+J11+E11</f>
        <v>18900.6875</v>
      </c>
      <c r="U11" s="54">
        <v>8643</v>
      </c>
      <c r="V11" s="86">
        <f t="shared" si="10"/>
        <v>78842.399999999994</v>
      </c>
      <c r="W11" s="75">
        <f t="shared" si="8"/>
        <v>-4.6644208344129856E-3</v>
      </c>
      <c r="X11" s="14" t="s">
        <v>10</v>
      </c>
      <c r="Y11" s="43" t="s">
        <v>10</v>
      </c>
      <c r="Z11" s="91">
        <f t="shared" si="3"/>
        <v>233.84371860826158</v>
      </c>
      <c r="AA11" s="99">
        <f t="shared" si="9"/>
        <v>-4.6644208344128746E-3</v>
      </c>
      <c r="AB11" s="208">
        <f t="shared" ref="AB11:AB24" si="13">((Z11-(Z11*0.15))/C11)+(Z11*0.15)</f>
        <v>315.57363670736612</v>
      </c>
      <c r="AC11" s="208">
        <f t="shared" ref="AC11:AC24" si="14">((Z11-(Z11*0.15)))/D11+(Z11*0.15)</f>
        <v>250.8677578449047</v>
      </c>
      <c r="AD11" s="164">
        <f>S11/U11*1000</f>
        <v>2133.1482124262411</v>
      </c>
      <c r="AF11" s="166" t="s">
        <v>39</v>
      </c>
      <c r="AG11" s="249" t="s">
        <v>38</v>
      </c>
      <c r="AH11" s="250"/>
      <c r="AI11" s="165">
        <v>17811.900000000001</v>
      </c>
      <c r="AJ11" s="167" t="s">
        <v>67</v>
      </c>
    </row>
    <row r="12" spans="1:36" x14ac:dyDescent="0.25">
      <c r="A12" s="128">
        <v>2009</v>
      </c>
      <c r="B12" s="122">
        <v>2835</v>
      </c>
      <c r="C12" s="129">
        <f>B12/B3</f>
        <v>0.73426573426573427</v>
      </c>
      <c r="D12" s="209">
        <f t="shared" si="11"/>
        <v>0.95443833464257655</v>
      </c>
      <c r="E12" s="133">
        <f>EL!D11</f>
        <v>9413.5</v>
      </c>
      <c r="F12" s="143" t="s">
        <v>10</v>
      </c>
      <c r="G12" s="143">
        <f t="shared" si="4"/>
        <v>151.79999999999927</v>
      </c>
      <c r="H12" s="242">
        <f>G12/E11</f>
        <v>1.6390079575023943E-2</v>
      </c>
      <c r="I12" s="134">
        <v>0</v>
      </c>
      <c r="J12" s="133">
        <f>KYLA!D11</f>
        <v>2681.6</v>
      </c>
      <c r="K12" s="143" t="s">
        <v>10</v>
      </c>
      <c r="L12" s="143">
        <f t="shared" si="5"/>
        <v>-121.5</v>
      </c>
      <c r="M12" s="134">
        <f>L12/J12</f>
        <v>-4.5308770883054891E-2</v>
      </c>
      <c r="N12" s="133">
        <f>VÄRME!D11</f>
        <v>7190</v>
      </c>
      <c r="O12" s="121">
        <f>VÄRME!F11</f>
        <v>7481.7423868312762</v>
      </c>
      <c r="P12" s="143" t="s">
        <v>10</v>
      </c>
      <c r="Q12" s="143">
        <f t="shared" si="6"/>
        <v>818</v>
      </c>
      <c r="R12" s="134">
        <f t="shared" si="7"/>
        <v>0.11376912378303194</v>
      </c>
      <c r="S12" s="135">
        <f t="shared" si="0"/>
        <v>19285.099999999999</v>
      </c>
      <c r="T12" s="234">
        <f t="shared" si="12"/>
        <v>19576.842386831275</v>
      </c>
      <c r="U12" s="172">
        <v>9290</v>
      </c>
      <c r="V12" s="136">
        <f t="shared" si="10"/>
        <v>78842.399999999994</v>
      </c>
      <c r="W12" s="137">
        <f t="shared" si="8"/>
        <v>4.6011238392779319E-2</v>
      </c>
      <c r="X12" s="138" t="s">
        <v>10</v>
      </c>
      <c r="Y12" s="139" t="s">
        <v>10</v>
      </c>
      <c r="Z12" s="140">
        <f t="shared" si="3"/>
        <v>244.60315769180036</v>
      </c>
      <c r="AA12" s="141">
        <f t="shared" si="9"/>
        <v>4.6011238392779541E-2</v>
      </c>
      <c r="AB12" s="208">
        <f t="shared" si="13"/>
        <v>319.84774810556371</v>
      </c>
      <c r="AC12" s="208">
        <f t="shared" si="14"/>
        <v>254.52820762941829</v>
      </c>
      <c r="AD12" s="173">
        <f t="shared" ref="AD12:AD19" si="15">S12/U12*1000</f>
        <v>2075.8988159311084</v>
      </c>
      <c r="AF12" s="166" t="s">
        <v>40</v>
      </c>
      <c r="AG12" s="249" t="s">
        <v>44</v>
      </c>
      <c r="AH12" s="250"/>
      <c r="AI12" s="165">
        <v>18891</v>
      </c>
      <c r="AJ12" s="167">
        <v>2000</v>
      </c>
    </row>
    <row r="13" spans="1:36" x14ac:dyDescent="0.25">
      <c r="A13" s="30">
        <v>2010</v>
      </c>
      <c r="B13" s="16">
        <v>3906</v>
      </c>
      <c r="C13" s="19">
        <f>B13/B3</f>
        <v>1.0116550116550116</v>
      </c>
      <c r="D13" s="209">
        <f t="shared" si="11"/>
        <v>1.315003927729772</v>
      </c>
      <c r="E13" s="87">
        <f>EL!D12</f>
        <v>7947.3</v>
      </c>
      <c r="F13" s="142">
        <f>E13-$E$12</f>
        <v>-1466.1999999999998</v>
      </c>
      <c r="G13" s="142">
        <f t="shared" si="4"/>
        <v>-1466.1999999999998</v>
      </c>
      <c r="H13" s="241">
        <f>G13/E12</f>
        <v>-0.15575503266585222</v>
      </c>
      <c r="I13" s="88">
        <f>F13/$E$12</f>
        <v>-0.15575503266585222</v>
      </c>
      <c r="J13" s="87">
        <f>KYLA!D12</f>
        <v>2603.8000000000002</v>
      </c>
      <c r="K13" s="142">
        <f>J13-$J$12</f>
        <v>-77.799999999999727</v>
      </c>
      <c r="L13" s="142">
        <f t="shared" si="5"/>
        <v>-77.799999999999727</v>
      </c>
      <c r="M13" s="134">
        <f>L13/J13</f>
        <v>-2.987940702050838E-2</v>
      </c>
      <c r="N13" s="87">
        <f>VÄRME!D12</f>
        <v>9234</v>
      </c>
      <c r="O13" s="21">
        <f>VÄRME!F12</f>
        <v>7353.8274193548386</v>
      </c>
      <c r="P13" s="142">
        <f>N13-$N$12</f>
        <v>2044</v>
      </c>
      <c r="Q13" s="142">
        <f t="shared" si="6"/>
        <v>2044</v>
      </c>
      <c r="R13" s="88">
        <f t="shared" si="7"/>
        <v>0.22135585878275932</v>
      </c>
      <c r="S13" s="95">
        <f t="shared" si="0"/>
        <v>19785.099999999999</v>
      </c>
      <c r="T13" s="234">
        <f t="shared" si="12"/>
        <v>17904.927419354837</v>
      </c>
      <c r="U13" s="54">
        <v>9584</v>
      </c>
      <c r="V13" s="86">
        <f t="shared" si="10"/>
        <v>78842.399999999994</v>
      </c>
      <c r="W13" s="75">
        <f t="shared" si="8"/>
        <v>2.5926751740981357E-2</v>
      </c>
      <c r="X13" s="203">
        <f t="shared" ref="X13:X18" si="16">1-$S$12/S13</f>
        <v>2.5271542726597263E-2</v>
      </c>
      <c r="Y13" s="77">
        <f t="shared" ref="Y13:Y18" si="17">S13-$S$12</f>
        <v>500</v>
      </c>
      <c r="Z13" s="91">
        <f t="shared" si="3"/>
        <v>250.94492303633575</v>
      </c>
      <c r="AA13" s="99">
        <f t="shared" si="9"/>
        <v>2.5926751740981135E-2</v>
      </c>
      <c r="AB13" s="208">
        <f t="shared" si="13"/>
        <v>248.4875130757265</v>
      </c>
      <c r="AC13" s="208">
        <f t="shared" si="14"/>
        <v>199.84899889240802</v>
      </c>
      <c r="AD13" s="164">
        <f t="shared" si="15"/>
        <v>2064.3885642737896</v>
      </c>
      <c r="AF13" s="166" t="s">
        <v>41</v>
      </c>
      <c r="AG13" s="249" t="s">
        <v>43</v>
      </c>
      <c r="AH13" s="250"/>
      <c r="AI13" s="165">
        <v>407.4</v>
      </c>
      <c r="AJ13" s="167" t="s">
        <v>67</v>
      </c>
    </row>
    <row r="14" spans="1:36" x14ac:dyDescent="0.25">
      <c r="A14" s="30">
        <v>2011</v>
      </c>
      <c r="B14" s="16">
        <v>3287</v>
      </c>
      <c r="C14" s="19">
        <f>B14/B3</f>
        <v>0.85133385133385131</v>
      </c>
      <c r="D14" s="209">
        <f t="shared" si="11"/>
        <v>1.1066098081023454</v>
      </c>
      <c r="E14" s="87">
        <f>EL!D13</f>
        <v>6919</v>
      </c>
      <c r="F14" s="142">
        <f t="shared" ref="F14:F17" si="18">E14-$E$12</f>
        <v>-2494.5</v>
      </c>
      <c r="G14" s="142">
        <f t="shared" si="4"/>
        <v>-1028.3000000000002</v>
      </c>
      <c r="H14" s="241">
        <f t="shared" ref="H14:H24" si="19">G14/E13</f>
        <v>-0.12938985567425418</v>
      </c>
      <c r="I14" s="88">
        <f t="shared" ref="I14:I24" si="20">F14/$E$12</f>
        <v>-0.26499176714293304</v>
      </c>
      <c r="J14" s="87">
        <f>KYLA!D13</f>
        <v>2424.4</v>
      </c>
      <c r="K14" s="142">
        <f t="shared" ref="K14:K17" si="21">J14-$J$12</f>
        <v>-257.19999999999982</v>
      </c>
      <c r="L14" s="142">
        <f t="shared" si="5"/>
        <v>-179.40000000000009</v>
      </c>
      <c r="M14" s="134">
        <f t="shared" ref="M14:M24" si="22">L14/J14</f>
        <v>-7.399769015014028E-2</v>
      </c>
      <c r="N14" s="87">
        <f>VÄRME!D13</f>
        <v>6953</v>
      </c>
      <c r="O14" s="21">
        <f>VÄRME!F13</f>
        <v>6383.6310211946047</v>
      </c>
      <c r="P14" s="142">
        <f t="shared" ref="P14:P17" si="23">N14-$N$12</f>
        <v>-237</v>
      </c>
      <c r="Q14" s="142">
        <f t="shared" si="6"/>
        <v>-2281</v>
      </c>
      <c r="R14" s="88">
        <f t="shared" si="7"/>
        <v>-0.32805983028908381</v>
      </c>
      <c r="S14" s="95">
        <f t="shared" si="0"/>
        <v>16296.4</v>
      </c>
      <c r="T14" s="234">
        <f t="shared" si="12"/>
        <v>15727.031021194605</v>
      </c>
      <c r="U14" s="54">
        <v>9820</v>
      </c>
      <c r="V14" s="86">
        <f t="shared" si="10"/>
        <v>78842.399999999994</v>
      </c>
      <c r="W14" s="75">
        <f t="shared" si="8"/>
        <v>-0.1763296622205599</v>
      </c>
      <c r="X14" s="202">
        <f t="shared" si="16"/>
        <v>-0.18339633293242663</v>
      </c>
      <c r="Y14" s="77">
        <f t="shared" si="17"/>
        <v>-2988.6999999999989</v>
      </c>
      <c r="Z14" s="91">
        <f t="shared" si="3"/>
        <v>206.69588952137431</v>
      </c>
      <c r="AA14" s="99">
        <f t="shared" si="9"/>
        <v>-0.17632966222055968</v>
      </c>
      <c r="AB14" s="208">
        <f t="shared" si="13"/>
        <v>237.37642633228958</v>
      </c>
      <c r="AC14" s="208">
        <f t="shared" si="14"/>
        <v>189.76992554322709</v>
      </c>
      <c r="AD14" s="164">
        <f t="shared" si="15"/>
        <v>1659.5112016293278</v>
      </c>
      <c r="AF14" s="166" t="s">
        <v>52</v>
      </c>
      <c r="AG14" s="249" t="s">
        <v>53</v>
      </c>
      <c r="AH14" s="250"/>
      <c r="AI14" s="165">
        <v>4826</v>
      </c>
      <c r="AJ14" s="168">
        <v>41578</v>
      </c>
    </row>
    <row r="15" spans="1:36" x14ac:dyDescent="0.25">
      <c r="A15" s="30">
        <v>2012</v>
      </c>
      <c r="B15" s="16">
        <v>3264</v>
      </c>
      <c r="C15" s="19">
        <f>B15/B3</f>
        <v>0.84537684537684543</v>
      </c>
      <c r="D15" s="209">
        <f t="shared" si="11"/>
        <v>1.098866569408596</v>
      </c>
      <c r="E15" s="87">
        <f>EL!D14</f>
        <v>6387</v>
      </c>
      <c r="F15" s="142">
        <f t="shared" si="18"/>
        <v>-3026.5</v>
      </c>
      <c r="G15" s="142">
        <f t="shared" si="4"/>
        <v>-532</v>
      </c>
      <c r="H15" s="241">
        <f t="shared" si="19"/>
        <v>-7.6889723948547484E-2</v>
      </c>
      <c r="I15" s="88">
        <f t="shared" si="20"/>
        <v>-0.3215063472672226</v>
      </c>
      <c r="J15" s="87">
        <f>KYLA!D14</f>
        <v>2477.4</v>
      </c>
      <c r="K15" s="142">
        <f t="shared" si="21"/>
        <v>-204.19999999999982</v>
      </c>
      <c r="L15" s="142">
        <f t="shared" si="5"/>
        <v>53</v>
      </c>
      <c r="M15" s="134">
        <f t="shared" si="22"/>
        <v>2.1393396302575279E-2</v>
      </c>
      <c r="N15" s="87">
        <f>VÄRME!D14</f>
        <v>7327</v>
      </c>
      <c r="O15" s="21">
        <f>VÄRME!F14</f>
        <v>6766.6625868055562</v>
      </c>
      <c r="P15" s="142">
        <f t="shared" si="23"/>
        <v>137</v>
      </c>
      <c r="Q15" s="142">
        <f t="shared" si="6"/>
        <v>374</v>
      </c>
      <c r="R15" s="88">
        <f t="shared" si="7"/>
        <v>5.1044083526682105E-2</v>
      </c>
      <c r="S15" s="95">
        <f t="shared" si="0"/>
        <v>16191.4</v>
      </c>
      <c r="T15" s="234">
        <f t="shared" si="12"/>
        <v>15631.062586805556</v>
      </c>
      <c r="U15" s="54">
        <v>9290</v>
      </c>
      <c r="V15" s="86">
        <f t="shared" si="10"/>
        <v>78842.399999999994</v>
      </c>
      <c r="W15" s="75">
        <f t="shared" si="8"/>
        <v>-6.4431408163766468E-3</v>
      </c>
      <c r="X15" s="202">
        <f t="shared" si="16"/>
        <v>-0.19107056832639535</v>
      </c>
      <c r="Y15" s="77">
        <f t="shared" si="17"/>
        <v>-3093.6999999999989</v>
      </c>
      <c r="Z15" s="91">
        <f t="shared" si="3"/>
        <v>205.36411879902187</v>
      </c>
      <c r="AA15" s="99">
        <f t="shared" si="9"/>
        <v>-6.4431408163766468E-3</v>
      </c>
      <c r="AB15" s="208">
        <f t="shared" si="13"/>
        <v>237.29182164355728</v>
      </c>
      <c r="AC15" s="208">
        <f t="shared" si="14"/>
        <v>189.65875519989532</v>
      </c>
      <c r="AD15" s="164">
        <f t="shared" si="15"/>
        <v>1742.8848223896662</v>
      </c>
      <c r="AF15" s="184" t="s">
        <v>100</v>
      </c>
      <c r="AG15" s="249" t="s">
        <v>101</v>
      </c>
      <c r="AH15" s="255"/>
      <c r="AI15" s="246">
        <v>7096</v>
      </c>
      <c r="AJ15" s="185">
        <v>43616</v>
      </c>
    </row>
    <row r="16" spans="1:36" ht="15.75" thickBot="1" x14ac:dyDescent="0.3">
      <c r="A16" s="30">
        <v>2013</v>
      </c>
      <c r="B16" s="16">
        <v>3389</v>
      </c>
      <c r="C16" s="19">
        <f>B16/B3</f>
        <v>0.8777518777518778</v>
      </c>
      <c r="D16" s="209">
        <f t="shared" si="11"/>
        <v>1.140949388396364</v>
      </c>
      <c r="E16" s="87">
        <f>EL!D15</f>
        <v>5987.1</v>
      </c>
      <c r="F16" s="142">
        <f t="shared" si="18"/>
        <v>-3426.3999999999996</v>
      </c>
      <c r="G16" s="142">
        <f t="shared" si="4"/>
        <v>-399.89999999999964</v>
      </c>
      <c r="H16" s="241">
        <f t="shared" si="19"/>
        <v>-6.2611554720526014E-2</v>
      </c>
      <c r="I16" s="88">
        <f t="shared" si="20"/>
        <v>-0.36398788973283047</v>
      </c>
      <c r="J16" s="87">
        <f>KYLA!D15</f>
        <v>2195.5</v>
      </c>
      <c r="K16" s="142">
        <f t="shared" si="21"/>
        <v>-486.09999999999991</v>
      </c>
      <c r="L16" s="142">
        <f t="shared" si="5"/>
        <v>-281.90000000000009</v>
      </c>
      <c r="M16" s="134">
        <f t="shared" si="22"/>
        <v>-0.12839899795035303</v>
      </c>
      <c r="N16" s="87">
        <f>VÄRME!D15</f>
        <v>7463</v>
      </c>
      <c r="O16" s="21">
        <f>VÄRME!F15</f>
        <v>6679.3372873020562</v>
      </c>
      <c r="P16" s="142">
        <f t="shared" si="23"/>
        <v>273</v>
      </c>
      <c r="Q16" s="142">
        <f t="shared" si="6"/>
        <v>136</v>
      </c>
      <c r="R16" s="88">
        <f t="shared" si="7"/>
        <v>1.8223234624145768E-2</v>
      </c>
      <c r="S16" s="95">
        <f t="shared" si="0"/>
        <v>15645.6</v>
      </c>
      <c r="T16" s="234">
        <f t="shared" si="12"/>
        <v>14861.937287302057</v>
      </c>
      <c r="U16" s="54">
        <v>8649</v>
      </c>
      <c r="V16" s="86">
        <v>78842.399999999994</v>
      </c>
      <c r="W16" s="75">
        <f t="shared" si="8"/>
        <v>-3.3709253060266509E-2</v>
      </c>
      <c r="X16" s="202">
        <f t="shared" si="16"/>
        <v>-0.23262131206217718</v>
      </c>
      <c r="Y16" s="77">
        <f t="shared" si="17"/>
        <v>-3639.4999999999982</v>
      </c>
      <c r="Z16" s="91">
        <f t="shared" si="3"/>
        <v>198.441447748927</v>
      </c>
      <c r="AA16" s="99">
        <f t="shared" si="9"/>
        <v>-3.3709253060266509E-2</v>
      </c>
      <c r="AB16" s="208">
        <f t="shared" si="13"/>
        <v>221.93354241899766</v>
      </c>
      <c r="AC16" s="208">
        <f t="shared" si="14"/>
        <v>177.60382705287563</v>
      </c>
      <c r="AD16" s="164">
        <f t="shared" si="15"/>
        <v>1808.9490114464099</v>
      </c>
      <c r="AF16" s="251"/>
      <c r="AG16" s="252"/>
      <c r="AH16" s="169" t="s">
        <v>63</v>
      </c>
      <c r="AI16" s="170">
        <f>SUM(AI6:AI15)</f>
        <v>90764.4</v>
      </c>
      <c r="AJ16" s="171"/>
    </row>
    <row r="17" spans="1:30" x14ac:dyDescent="0.25">
      <c r="A17" s="30">
        <v>2014</v>
      </c>
      <c r="B17" s="87">
        <v>2707</v>
      </c>
      <c r="C17" s="19">
        <f t="shared" ref="C17:C25" si="24">B17/$B$3</f>
        <v>0.70111370111370108</v>
      </c>
      <c r="D17" s="209">
        <f t="shared" si="11"/>
        <v>0.91134552799910218</v>
      </c>
      <c r="E17" s="87">
        <f>EL!D16</f>
        <v>6187</v>
      </c>
      <c r="F17" s="142">
        <f t="shared" si="18"/>
        <v>-3226.5</v>
      </c>
      <c r="G17" s="142">
        <f t="shared" si="4"/>
        <v>199.89999999999964</v>
      </c>
      <c r="H17" s="241">
        <f t="shared" si="19"/>
        <v>3.338845183811856E-2</v>
      </c>
      <c r="I17" s="88">
        <f t="shared" si="20"/>
        <v>-0.34275243002071493</v>
      </c>
      <c r="J17" s="87">
        <f>KYLA!D16</f>
        <v>2462.6</v>
      </c>
      <c r="K17" s="142">
        <f t="shared" si="21"/>
        <v>-219</v>
      </c>
      <c r="L17" s="142">
        <f t="shared" si="5"/>
        <v>267.09999999999991</v>
      </c>
      <c r="M17" s="134">
        <f t="shared" si="22"/>
        <v>0.10846260050353282</v>
      </c>
      <c r="N17" s="87">
        <f>VÄRME!D16</f>
        <v>7227</v>
      </c>
      <c r="O17" s="21">
        <f>VÄRME!F16</f>
        <v>7824.5779460657559</v>
      </c>
      <c r="P17" s="142">
        <f t="shared" si="23"/>
        <v>37</v>
      </c>
      <c r="Q17" s="142">
        <f t="shared" si="6"/>
        <v>-236</v>
      </c>
      <c r="R17" s="88">
        <f t="shared" si="7"/>
        <v>-3.2655320326553161E-2</v>
      </c>
      <c r="S17" s="95">
        <f t="shared" si="0"/>
        <v>15876.6</v>
      </c>
      <c r="T17" s="234">
        <f t="shared" si="12"/>
        <v>16474.177946065756</v>
      </c>
      <c r="U17" s="54">
        <v>8137</v>
      </c>
      <c r="V17" s="30">
        <v>83668.399999999994</v>
      </c>
      <c r="W17" s="75">
        <f t="shared" ref="W17" si="25">(S17/S16)-1</f>
        <v>1.4764534437797128E-2</v>
      </c>
      <c r="X17" s="202">
        <f t="shared" si="16"/>
        <v>-0.2146870236700551</v>
      </c>
      <c r="Y17" s="77">
        <f t="shared" si="17"/>
        <v>-3408.4999999999982</v>
      </c>
      <c r="Z17" s="91">
        <f t="shared" si="3"/>
        <v>189.75622815782305</v>
      </c>
      <c r="AA17" s="99">
        <f t="shared" si="9"/>
        <v>-4.376716502337108E-2</v>
      </c>
      <c r="AB17" s="208">
        <f t="shared" si="13"/>
        <v>258.51569775516646</v>
      </c>
      <c r="AC17" s="208">
        <f t="shared" si="14"/>
        <v>205.44657506189623</v>
      </c>
      <c r="AD17" s="164">
        <f t="shared" si="15"/>
        <v>1951.1613616812094</v>
      </c>
    </row>
    <row r="18" spans="1:30" x14ac:dyDescent="0.25">
      <c r="A18" s="30">
        <v>2015</v>
      </c>
      <c r="B18" s="87">
        <v>2712</v>
      </c>
      <c r="C18" s="19">
        <f t="shared" si="24"/>
        <v>0.70240870240870246</v>
      </c>
      <c r="D18" s="209">
        <f t="shared" si="11"/>
        <v>0.9130288407586129</v>
      </c>
      <c r="E18" s="87">
        <f>EL!D17</f>
        <v>6025</v>
      </c>
      <c r="F18" s="142">
        <f t="shared" ref="F18:F19" si="26">E18-$E$12</f>
        <v>-3388.5</v>
      </c>
      <c r="G18" s="142">
        <f t="shared" ref="G18:G19" si="27">E18-E17</f>
        <v>-162</v>
      </c>
      <c r="H18" s="241">
        <f t="shared" si="19"/>
        <v>-2.6183934055277195E-2</v>
      </c>
      <c r="I18" s="88">
        <f t="shared" si="20"/>
        <v>-0.35996175705104372</v>
      </c>
      <c r="J18" s="87">
        <f>KYLA!D17</f>
        <v>2513.5</v>
      </c>
      <c r="K18" s="142">
        <f t="shared" ref="K18" si="28">J18-$J$12</f>
        <v>-168.09999999999991</v>
      </c>
      <c r="L18" s="142">
        <f t="shared" ref="L18" si="29">J18-J17</f>
        <v>50.900000000000091</v>
      </c>
      <c r="M18" s="134">
        <f t="shared" si="22"/>
        <v>2.0250646508852235E-2</v>
      </c>
      <c r="N18" s="87">
        <f>VÄRME!D17</f>
        <v>7952</v>
      </c>
      <c r="O18" s="21">
        <f>VÄRME!F17</f>
        <v>8595.8520157325474</v>
      </c>
      <c r="P18" s="142">
        <f t="shared" ref="P18" si="30">N18-$N$12</f>
        <v>762</v>
      </c>
      <c r="Q18" s="142">
        <f t="shared" ref="Q18" si="31">N18-N17</f>
        <v>725</v>
      </c>
      <c r="R18" s="88">
        <f t="shared" ref="R18" si="32">1-(N17/N18)</f>
        <v>9.1172032193158947E-2</v>
      </c>
      <c r="S18" s="95">
        <f t="shared" si="0"/>
        <v>16490.5</v>
      </c>
      <c r="T18" s="234">
        <f t="shared" si="12"/>
        <v>17134.352015732547</v>
      </c>
      <c r="U18" s="54">
        <v>8041</v>
      </c>
      <c r="V18" s="30">
        <v>83668.399999999994</v>
      </c>
      <c r="W18" s="75">
        <f t="shared" ref="W18" si="33">(S18/S17)-1</f>
        <v>3.8666968998400053E-2</v>
      </c>
      <c r="X18" s="202">
        <f t="shared" si="16"/>
        <v>-0.16946726903368603</v>
      </c>
      <c r="Y18" s="77">
        <f t="shared" si="17"/>
        <v>-2794.5999999999985</v>
      </c>
      <c r="Z18" s="91">
        <f t="shared" si="3"/>
        <v>197.09352634925492</v>
      </c>
      <c r="AA18" s="99">
        <f t="shared" si="9"/>
        <v>3.8666968998400053E-2</v>
      </c>
      <c r="AB18" s="208">
        <f t="shared" si="13"/>
        <v>268.07117845434328</v>
      </c>
      <c r="AC18" s="208">
        <f t="shared" si="14"/>
        <v>213.05165816864672</v>
      </c>
      <c r="AD18" s="164">
        <f t="shared" si="15"/>
        <v>2050.8021390374333</v>
      </c>
    </row>
    <row r="19" spans="1:30" x14ac:dyDescent="0.25">
      <c r="A19" s="30">
        <v>2016</v>
      </c>
      <c r="B19" s="87">
        <v>2950</v>
      </c>
      <c r="C19" s="19">
        <f t="shared" si="24"/>
        <v>0.764050764050764</v>
      </c>
      <c r="D19" s="209">
        <f t="shared" si="11"/>
        <v>0.99315452811132299</v>
      </c>
      <c r="E19" s="87">
        <f>EL!D18</f>
        <v>6168</v>
      </c>
      <c r="F19" s="142">
        <f t="shared" si="26"/>
        <v>-3245.5</v>
      </c>
      <c r="G19" s="142">
        <f t="shared" si="27"/>
        <v>143</v>
      </c>
      <c r="H19" s="241">
        <f t="shared" si="19"/>
        <v>2.3734439834024897E-2</v>
      </c>
      <c r="I19" s="88">
        <f t="shared" si="20"/>
        <v>-0.34477080788229669</v>
      </c>
      <c r="J19" s="87">
        <f>KYLA!D18</f>
        <v>2528.4</v>
      </c>
      <c r="K19" s="142">
        <f t="shared" ref="K19" si="34">J19-$J$12</f>
        <v>-153.19999999999982</v>
      </c>
      <c r="L19" s="142">
        <f t="shared" ref="L19" si="35">J19-J18</f>
        <v>14.900000000000091</v>
      </c>
      <c r="M19" s="134">
        <f t="shared" si="22"/>
        <v>5.8930548963771912E-3</v>
      </c>
      <c r="N19" s="87">
        <f>VÄRME!D18</f>
        <v>8124</v>
      </c>
      <c r="O19" s="21">
        <f>VÄRME!F18</f>
        <v>8171.5965423728812</v>
      </c>
      <c r="P19" s="142">
        <f t="shared" ref="P19" si="36">N19-$N$12</f>
        <v>934</v>
      </c>
      <c r="Q19" s="142">
        <f t="shared" ref="Q19" si="37">N19-N18</f>
        <v>172</v>
      </c>
      <c r="R19" s="88">
        <f t="shared" ref="R19" si="38">1-(N18/N19)</f>
        <v>2.1171836533727229E-2</v>
      </c>
      <c r="S19" s="95">
        <f t="shared" si="0"/>
        <v>16820.400000000001</v>
      </c>
      <c r="T19" s="234">
        <f t="shared" si="12"/>
        <v>16867.996542372879</v>
      </c>
      <c r="U19" s="54">
        <v>9159</v>
      </c>
      <c r="V19" s="30">
        <v>83668.399999999994</v>
      </c>
      <c r="W19" s="75">
        <f t="shared" ref="W19" si="39">(S19/S18)-1</f>
        <v>2.0005457687759742E-2</v>
      </c>
      <c r="X19" s="202">
        <f t="shared" ref="X19" si="40">1-$S$12/S19</f>
        <v>-0.14653040355758473</v>
      </c>
      <c r="Y19" s="77">
        <f t="shared" ref="Y19" si="41">S19-$S$12</f>
        <v>-2464.6999999999971</v>
      </c>
      <c r="Z19" s="91">
        <f t="shared" si="3"/>
        <v>201.0364725511663</v>
      </c>
      <c r="AA19" s="99">
        <f t="shared" si="9"/>
        <v>2.0005457687759742E-2</v>
      </c>
      <c r="AB19" s="208">
        <f t="shared" si="13"/>
        <v>253.80684289692755</v>
      </c>
      <c r="AC19" s="208">
        <f t="shared" si="14"/>
        <v>202.21429640447457</v>
      </c>
      <c r="AD19" s="164">
        <f t="shared" si="15"/>
        <v>1836.4886996396988</v>
      </c>
    </row>
    <row r="20" spans="1:30" x14ac:dyDescent="0.25">
      <c r="A20" s="30">
        <v>2017</v>
      </c>
      <c r="B20" s="87">
        <v>2908</v>
      </c>
      <c r="C20" s="19">
        <f t="shared" si="24"/>
        <v>0.75317275317275312</v>
      </c>
      <c r="D20" s="209">
        <f t="shared" si="11"/>
        <v>0.97901470093143306</v>
      </c>
      <c r="E20" s="87">
        <f>EL!D19</f>
        <v>6091</v>
      </c>
      <c r="F20" s="142">
        <f t="shared" ref="F20:F21" si="42">E20-$E$12</f>
        <v>-3322.5</v>
      </c>
      <c r="G20" s="142">
        <f t="shared" ref="G20:G21" si="43">E20-E19</f>
        <v>-77</v>
      </c>
      <c r="H20" s="241">
        <f t="shared" si="19"/>
        <v>-1.2483787289234761E-2</v>
      </c>
      <c r="I20" s="88">
        <f t="shared" si="20"/>
        <v>-0.35295054974239126</v>
      </c>
      <c r="J20" s="87">
        <f>KYLA!D19</f>
        <v>2264</v>
      </c>
      <c r="K20" s="142">
        <f t="shared" ref="K20" si="44">J20-$J$12</f>
        <v>-417.59999999999991</v>
      </c>
      <c r="L20" s="142">
        <f t="shared" ref="L20" si="45">J20-J19</f>
        <v>-264.40000000000009</v>
      </c>
      <c r="M20" s="134">
        <f t="shared" si="22"/>
        <v>-0.11678445229681983</v>
      </c>
      <c r="N20" s="87">
        <f>VÄRME!D19</f>
        <v>7224</v>
      </c>
      <c r="O20" s="21">
        <f>VÄRME!F19</f>
        <v>7355.6202200825301</v>
      </c>
      <c r="P20" s="142">
        <f t="shared" ref="P20:P21" si="46">N20-$N$12</f>
        <v>34</v>
      </c>
      <c r="Q20" s="142">
        <f t="shared" ref="Q20:Q21" si="47">N20-N19</f>
        <v>-900</v>
      </c>
      <c r="R20" s="88">
        <f t="shared" ref="R20:R21" si="48">1-(N19/N20)</f>
        <v>-0.12458471760797352</v>
      </c>
      <c r="S20" s="95">
        <f t="shared" si="0"/>
        <v>15579</v>
      </c>
      <c r="T20" s="234">
        <f t="shared" si="12"/>
        <v>15710.62022008253</v>
      </c>
      <c r="U20" s="54"/>
      <c r="V20" s="30">
        <v>83668.399999999994</v>
      </c>
      <c r="W20" s="75">
        <f t="shared" ref="W20" si="49">(S20/S19)-1</f>
        <v>-7.3803238924163628E-2</v>
      </c>
      <c r="X20" s="202">
        <f t="shared" ref="X20" si="50">1-$S$12/S20</f>
        <v>-0.23789075036908658</v>
      </c>
      <c r="Y20" s="77">
        <f t="shared" ref="Y20" si="51">S20-$S$12</f>
        <v>-3706.0999999999985</v>
      </c>
      <c r="Z20" s="91">
        <f t="shared" si="3"/>
        <v>186.19932973500153</v>
      </c>
      <c r="AA20" s="99">
        <f t="shared" si="9"/>
        <v>-7.3803238924163517E-2</v>
      </c>
      <c r="AB20" s="208">
        <f t="shared" si="13"/>
        <v>238.06685623150705</v>
      </c>
      <c r="AC20" s="208">
        <f t="shared" si="14"/>
        <v>189.59185420329342</v>
      </c>
      <c r="AD20" s="164"/>
    </row>
    <row r="21" spans="1:30" x14ac:dyDescent="0.25">
      <c r="A21" s="30">
        <v>2018</v>
      </c>
      <c r="B21" s="87">
        <v>3005</v>
      </c>
      <c r="C21" s="19">
        <f t="shared" si="24"/>
        <v>0.77829577829577834</v>
      </c>
      <c r="D21" s="209">
        <f t="shared" si="11"/>
        <v>1.0116709684659408</v>
      </c>
      <c r="E21" s="87">
        <f>EL!D20</f>
        <v>5945</v>
      </c>
      <c r="F21" s="142">
        <f t="shared" si="42"/>
        <v>-3468.5</v>
      </c>
      <c r="G21" s="142">
        <f t="shared" si="43"/>
        <v>-146</v>
      </c>
      <c r="H21" s="241">
        <f t="shared" si="19"/>
        <v>-2.3969791495649317E-2</v>
      </c>
      <c r="I21" s="88">
        <f t="shared" si="20"/>
        <v>-0.36846019015244064</v>
      </c>
      <c r="J21" s="87">
        <f>KYLA!D20</f>
        <v>2475</v>
      </c>
      <c r="K21" s="142">
        <f t="shared" ref="K21" si="52">J21-$J$12</f>
        <v>-206.59999999999991</v>
      </c>
      <c r="L21" s="142">
        <f t="shared" ref="L21" si="53">J21-J20</f>
        <v>211</v>
      </c>
      <c r="M21" s="134">
        <f t="shared" si="22"/>
        <v>8.5252525252525246E-2</v>
      </c>
      <c r="N21" s="87">
        <f>VÄRME!D20</f>
        <v>7470</v>
      </c>
      <c r="O21" s="21">
        <f>VÄRME!F20</f>
        <v>7396.7500831946763</v>
      </c>
      <c r="P21" s="142">
        <f t="shared" si="46"/>
        <v>280</v>
      </c>
      <c r="Q21" s="142">
        <f t="shared" si="47"/>
        <v>246</v>
      </c>
      <c r="R21" s="88">
        <f t="shared" si="48"/>
        <v>3.2931726907630576E-2</v>
      </c>
      <c r="S21" s="95">
        <f t="shared" si="0"/>
        <v>15890</v>
      </c>
      <c r="T21" s="234">
        <f t="shared" si="12"/>
        <v>15816.750083194676</v>
      </c>
      <c r="U21" s="54"/>
      <c r="V21" s="30">
        <v>83668.399999999994</v>
      </c>
      <c r="W21" s="75">
        <f t="shared" ref="W21" si="54">(S21/S20)-1</f>
        <v>1.9962770396045881E-2</v>
      </c>
      <c r="X21" s="202">
        <f t="shared" ref="X21" si="55">1-$S$12/S21</f>
        <v>-0.21366268093140328</v>
      </c>
      <c r="Y21" s="77">
        <f t="shared" ref="Y21" si="56">S21-$S$12</f>
        <v>-3395.0999999999985</v>
      </c>
      <c r="Z21" s="91">
        <f t="shared" ref="Z21:Z22" si="57">S21/V21*1000</f>
        <v>189.916384202399</v>
      </c>
      <c r="AA21" s="99">
        <f t="shared" ref="AA21:AA22" si="58">(Z21/Z20)-1</f>
        <v>1.9962770396045881E-2</v>
      </c>
      <c r="AB21" s="208">
        <f t="shared" si="13"/>
        <v>235.90079722924276</v>
      </c>
      <c r="AC21" s="208">
        <f t="shared" si="14"/>
        <v>188.05408710162342</v>
      </c>
      <c r="AD21" s="164"/>
    </row>
    <row r="22" spans="1:30" x14ac:dyDescent="0.25">
      <c r="A22" s="30">
        <v>2019</v>
      </c>
      <c r="B22" s="87">
        <v>2802</v>
      </c>
      <c r="C22" s="19">
        <f t="shared" si="24"/>
        <v>0.72571872571872575</v>
      </c>
      <c r="D22" s="209">
        <f t="shared" si="11"/>
        <v>0.94332847042980583</v>
      </c>
      <c r="E22" s="87">
        <f>EL!D21</f>
        <v>5960</v>
      </c>
      <c r="F22" s="142">
        <f t="shared" ref="F22:F24" si="59">E22-$E$12</f>
        <v>-3453.5</v>
      </c>
      <c r="G22" s="142">
        <f t="shared" ref="G22" si="60">E22-E21</f>
        <v>15</v>
      </c>
      <c r="H22" s="241">
        <f t="shared" si="19"/>
        <v>2.5231286795626578E-3</v>
      </c>
      <c r="I22" s="88">
        <f t="shared" si="20"/>
        <v>-0.36686673394592872</v>
      </c>
      <c r="J22" s="87">
        <f>KYLA!D21</f>
        <v>2151.5</v>
      </c>
      <c r="K22" s="142">
        <f t="shared" ref="K22" si="61">J22-$J$12</f>
        <v>-530.09999999999991</v>
      </c>
      <c r="L22" s="142">
        <f t="shared" ref="L22" si="62">J22-J21</f>
        <v>-323.5</v>
      </c>
      <c r="M22" s="134">
        <f t="shared" si="22"/>
        <v>-0.15036021380432257</v>
      </c>
      <c r="N22" s="87">
        <f>VÄRME!D21</f>
        <v>7571.6</v>
      </c>
      <c r="O22" s="21">
        <f>VÄRME!F21</f>
        <v>7958.2416012372123</v>
      </c>
      <c r="P22" s="142">
        <f t="shared" ref="P22" si="63">N22-$N$12</f>
        <v>381.60000000000036</v>
      </c>
      <c r="Q22" s="142">
        <f t="shared" ref="Q22" si="64">N22-N21</f>
        <v>101.60000000000036</v>
      </c>
      <c r="R22" s="88">
        <f t="shared" ref="R22" si="65">1-(N21/N22)</f>
        <v>1.3418564107982478E-2</v>
      </c>
      <c r="S22" s="95">
        <f t="shared" si="0"/>
        <v>15683.1</v>
      </c>
      <c r="T22" s="234">
        <f t="shared" si="12"/>
        <v>16069.741601237212</v>
      </c>
      <c r="U22" s="54"/>
      <c r="V22" s="30">
        <v>90764.4</v>
      </c>
      <c r="W22" s="75">
        <f t="shared" ref="W22" si="66">(S22/S21)-1</f>
        <v>-1.3020767778477049E-2</v>
      </c>
      <c r="X22" s="202">
        <f t="shared" ref="X22" si="67">1-$S$12/S22</f>
        <v>-0.22967398027175734</v>
      </c>
      <c r="Y22" s="77">
        <f t="shared" ref="Y22" si="68">S22-$S$12</f>
        <v>-3601.9999999999982</v>
      </c>
      <c r="Z22" s="91">
        <f t="shared" si="57"/>
        <v>172.78911114930526</v>
      </c>
      <c r="AA22" s="99">
        <f t="shared" si="58"/>
        <v>-9.0183230504434775E-2</v>
      </c>
      <c r="AB22" s="208">
        <f t="shared" si="13"/>
        <v>228.2980756036404</v>
      </c>
      <c r="AC22" s="208">
        <f t="shared" si="14"/>
        <v>181.61253798261947</v>
      </c>
      <c r="AD22" s="164"/>
    </row>
    <row r="23" spans="1:30" x14ac:dyDescent="0.25">
      <c r="A23" s="30">
        <v>2020</v>
      </c>
      <c r="B23" s="87">
        <v>2650</v>
      </c>
      <c r="C23" s="19">
        <f t="shared" si="24"/>
        <v>0.6863506863506863</v>
      </c>
      <c r="D23" s="209">
        <f t="shared" si="11"/>
        <v>0.89215576254067996</v>
      </c>
      <c r="E23" s="87">
        <f>EL!D22</f>
        <v>5536</v>
      </c>
      <c r="F23" s="142">
        <f t="shared" si="59"/>
        <v>-3877.5</v>
      </c>
      <c r="G23" s="142">
        <f t="shared" ref="G23:G24" si="69">E23-E22</f>
        <v>-424</v>
      </c>
      <c r="H23" s="241">
        <f t="shared" si="19"/>
        <v>-7.1140939597315433E-2</v>
      </c>
      <c r="I23" s="88">
        <f t="shared" si="20"/>
        <v>-0.41190842938333244</v>
      </c>
      <c r="J23" s="87">
        <f>KYLA!D22</f>
        <v>2065.5</v>
      </c>
      <c r="K23" s="142">
        <f t="shared" ref="K23:K24" si="70">J23-$J$12</f>
        <v>-616.09999999999991</v>
      </c>
      <c r="L23" s="142">
        <f t="shared" ref="L23:L24" si="71">J23-J22</f>
        <v>-86</v>
      </c>
      <c r="M23" s="134">
        <f t="shared" si="22"/>
        <v>-4.1636407649479547E-2</v>
      </c>
      <c r="N23" s="87">
        <f>VÄRME!D22</f>
        <v>7036</v>
      </c>
      <c r="O23" s="21">
        <f>VÄRME!F22</f>
        <v>7758.937937106919</v>
      </c>
      <c r="P23" s="142">
        <f t="shared" ref="P23:P24" si="72">N23-$N$12</f>
        <v>-154</v>
      </c>
      <c r="Q23" s="142">
        <f t="shared" ref="Q23:Q24" si="73">N23-N22</f>
        <v>-535.60000000000036</v>
      </c>
      <c r="R23" s="88">
        <f t="shared" ref="R23:R24" si="74">1-(N22/N23)</f>
        <v>-7.6122797043775003E-2</v>
      </c>
      <c r="S23" s="95">
        <f t="shared" si="0"/>
        <v>14637.5</v>
      </c>
      <c r="T23" s="234">
        <f t="shared" si="12"/>
        <v>15360.437937106919</v>
      </c>
      <c r="U23" s="54"/>
      <c r="V23" s="30">
        <v>90764.4</v>
      </c>
      <c r="W23" s="75">
        <f t="shared" ref="W23:W25" si="75">(S23/S22)-1</f>
        <v>-6.6670492440907725E-2</v>
      </c>
      <c r="X23" s="202">
        <f t="shared" ref="X23:X25" si="76">1-$S$12/S23</f>
        <v>-0.31751323654995711</v>
      </c>
      <c r="Y23" s="77">
        <f t="shared" ref="Y23:Y25" si="77">S23-$S$12</f>
        <v>-4647.5999999999985</v>
      </c>
      <c r="Z23" s="91">
        <f t="shared" ref="Z23:Z25" si="78">S23/V23*1000</f>
        <v>161.26917602055431</v>
      </c>
      <c r="AA23" s="99">
        <f t="shared" ref="AA23:AA24" si="79">(Z23/Z22)-1</f>
        <v>-6.6670492440907836E-2</v>
      </c>
      <c r="AB23" s="208">
        <f t="shared" si="13"/>
        <v>223.91160105329303</v>
      </c>
      <c r="AC23" s="208">
        <f t="shared" si="14"/>
        <v>177.83933028877945</v>
      </c>
      <c r="AD23" s="164"/>
    </row>
    <row r="24" spans="1:30" x14ac:dyDescent="0.25">
      <c r="A24" s="30">
        <v>2021</v>
      </c>
      <c r="B24" s="87">
        <v>2780</v>
      </c>
      <c r="C24" s="19">
        <f t="shared" si="24"/>
        <v>0.72002072002072004</v>
      </c>
      <c r="D24" s="209">
        <f t="shared" si="11"/>
        <v>0.93592189428795869</v>
      </c>
      <c r="E24" s="87">
        <f>EL!D23</f>
        <v>5657.9</v>
      </c>
      <c r="F24" s="142">
        <f t="shared" si="59"/>
        <v>-3755.6000000000004</v>
      </c>
      <c r="G24" s="142">
        <f t="shared" si="69"/>
        <v>121.89999999999964</v>
      </c>
      <c r="H24" s="241">
        <f t="shared" si="19"/>
        <v>2.2019508670520164E-2</v>
      </c>
      <c r="I24" s="88">
        <f t="shared" si="20"/>
        <v>-0.39895894194507892</v>
      </c>
      <c r="J24" s="87">
        <f>KYLA!D23</f>
        <v>2072.6</v>
      </c>
      <c r="K24" s="142">
        <f t="shared" si="70"/>
        <v>-609</v>
      </c>
      <c r="L24" s="142">
        <f t="shared" si="71"/>
        <v>7.0999999999999091</v>
      </c>
      <c r="M24" s="134">
        <f t="shared" si="22"/>
        <v>3.4256489433561275E-3</v>
      </c>
      <c r="N24" s="87">
        <f>VÄRME!D23</f>
        <v>8026</v>
      </c>
      <c r="O24" s="21">
        <f>VÄRME!F23</f>
        <v>8493.0766306954447</v>
      </c>
      <c r="P24" s="142">
        <f t="shared" si="72"/>
        <v>836</v>
      </c>
      <c r="Q24" s="142">
        <f t="shared" si="73"/>
        <v>990</v>
      </c>
      <c r="R24" s="88">
        <f t="shared" si="74"/>
        <v>0.12334911537503113</v>
      </c>
      <c r="S24" s="95">
        <f>E24+J24+N24</f>
        <v>15756.5</v>
      </c>
      <c r="T24" s="234">
        <f t="shared" si="12"/>
        <v>16223.576630695445</v>
      </c>
      <c r="U24" s="54"/>
      <c r="V24" s="30">
        <v>90764.4</v>
      </c>
      <c r="W24" s="75">
        <f t="shared" si="75"/>
        <v>7.6447480785653221E-2</v>
      </c>
      <c r="X24" s="202">
        <f t="shared" si="76"/>
        <v>-0.22394567321422887</v>
      </c>
      <c r="Y24" s="77">
        <f t="shared" si="77"/>
        <v>-3528.5999999999985</v>
      </c>
      <c r="Z24" s="91">
        <f t="shared" si="78"/>
        <v>173.59779825570379</v>
      </c>
      <c r="AA24" s="99">
        <f t="shared" si="79"/>
        <v>7.6447480785653443E-2</v>
      </c>
      <c r="AB24" s="208">
        <f t="shared" si="13"/>
        <v>230.97561729428415</v>
      </c>
      <c r="AC24" s="208">
        <f t="shared" si="14"/>
        <v>183.70039914100425</v>
      </c>
      <c r="AD24" s="164"/>
    </row>
    <row r="25" spans="1:30" x14ac:dyDescent="0.25">
      <c r="A25" s="30">
        <v>2022</v>
      </c>
      <c r="B25" s="87">
        <v>2912</v>
      </c>
      <c r="C25" s="19">
        <f t="shared" si="24"/>
        <v>0.75420875420875422</v>
      </c>
      <c r="D25" s="209">
        <f t="shared" si="11"/>
        <v>0.98036135113904155</v>
      </c>
      <c r="E25" s="87">
        <f>EL!D24</f>
        <v>5537.2</v>
      </c>
      <c r="F25" s="142">
        <f t="shared" ref="F25" si="80">E25-$E$12</f>
        <v>-3876.3</v>
      </c>
      <c r="G25" s="142">
        <f t="shared" ref="G25" si="81">E25-E24</f>
        <v>-120.69999999999982</v>
      </c>
      <c r="H25" s="241">
        <f t="shared" ref="H25" si="82">G25/E24</f>
        <v>-2.1333003411159585E-2</v>
      </c>
      <c r="I25" s="88">
        <f t="shared" ref="I25" si="83">F25/$E$12</f>
        <v>-0.41178095288681149</v>
      </c>
      <c r="J25" s="87">
        <f>KYLA!D24</f>
        <v>1990.14</v>
      </c>
      <c r="K25" s="142">
        <f t="shared" ref="K25" si="84">J25-$J$12</f>
        <v>-691.45999999999981</v>
      </c>
      <c r="L25" s="142">
        <f t="shared" ref="L25" si="85">J25-J24</f>
        <v>-82.459999999999809</v>
      </c>
      <c r="M25" s="134">
        <f t="shared" ref="M25" si="86">L25/J25</f>
        <v>-4.1434270955812057E-2</v>
      </c>
      <c r="N25" s="87">
        <f>VÄRME!D24</f>
        <v>7328</v>
      </c>
      <c r="O25" s="21">
        <f>VÄRME!F24</f>
        <v>7452.7756410256416</v>
      </c>
      <c r="P25" s="142">
        <f t="shared" ref="P25" si="87">N25-$N$12</f>
        <v>138</v>
      </c>
      <c r="Q25" s="142">
        <f t="shared" ref="Q25" si="88">N25-N24</f>
        <v>-698</v>
      </c>
      <c r="R25" s="88">
        <f t="shared" ref="R25" si="89">1-(N24/N25)</f>
        <v>-9.5251091703056678E-2</v>
      </c>
      <c r="S25" s="95">
        <f>E25+J25+N25</f>
        <v>14855.34</v>
      </c>
      <c r="T25" s="234">
        <f t="shared" si="12"/>
        <v>14980.115641025641</v>
      </c>
      <c r="U25" s="54"/>
      <c r="V25" s="30">
        <v>90764.4</v>
      </c>
      <c r="W25" s="75">
        <f t="shared" si="75"/>
        <v>-5.7192904515596776E-2</v>
      </c>
      <c r="X25" s="202">
        <f t="shared" si="76"/>
        <v>-0.29819310766364149</v>
      </c>
      <c r="Y25" s="77">
        <f t="shared" si="77"/>
        <v>-4429.7599999999984</v>
      </c>
      <c r="Z25" s="91">
        <f t="shared" si="78"/>
        <v>163.6692359559475</v>
      </c>
      <c r="AA25" s="99">
        <f t="shared" ref="AA25" si="90">(Z25/Z24)-1</f>
        <v>-5.7192904515596776E-2</v>
      </c>
      <c r="AB25" s="208">
        <f t="shared" ref="AB25" si="91">((Z25-(Z25*0.15))/C25)+(Z25*0.15)</f>
        <v>209.00707564820885</v>
      </c>
      <c r="AC25" s="208">
        <f t="shared" ref="AC25" si="92">((Z25-(Z25*0.15)))/D25+(Z25*0.15)</f>
        <v>166.45607190471665</v>
      </c>
      <c r="AD25" s="164"/>
    </row>
    <row r="26" spans="1:30" x14ac:dyDescent="0.25">
      <c r="A26" s="30"/>
      <c r="B26" s="16" t="s">
        <v>17</v>
      </c>
      <c r="C26" s="19" t="s">
        <v>17</v>
      </c>
      <c r="D26" s="54"/>
      <c r="E26" s="53" t="s">
        <v>17</v>
      </c>
      <c r="F26" s="54" t="s">
        <v>63</v>
      </c>
      <c r="G26" s="54"/>
      <c r="H26" s="54"/>
      <c r="I26" s="244"/>
      <c r="J26" s="53" t="s">
        <v>17</v>
      </c>
      <c r="K26" s="54" t="s">
        <v>63</v>
      </c>
      <c r="L26" s="54"/>
      <c r="M26" s="55"/>
      <c r="N26" s="53" t="s">
        <v>17</v>
      </c>
      <c r="O26" s="54"/>
      <c r="P26" s="54" t="s">
        <v>63</v>
      </c>
      <c r="Q26" s="54"/>
      <c r="R26" s="55"/>
      <c r="S26" s="96"/>
      <c r="T26" s="235"/>
      <c r="U26" s="54"/>
      <c r="V26" s="84"/>
      <c r="W26" s="74"/>
      <c r="Y26" s="43" t="s">
        <v>63</v>
      </c>
      <c r="Z26" s="84"/>
      <c r="AA26" s="82"/>
      <c r="AB26" s="82"/>
      <c r="AC26" s="82"/>
      <c r="AD26" s="96"/>
    </row>
    <row r="27" spans="1:30" ht="3" customHeight="1" x14ac:dyDescent="0.25">
      <c r="A27" s="149" t="s">
        <v>0</v>
      </c>
      <c r="B27" s="70"/>
      <c r="C27" s="18"/>
      <c r="D27" s="61"/>
      <c r="E27" s="62"/>
      <c r="F27" s="61"/>
      <c r="G27" s="61"/>
      <c r="H27" s="61"/>
      <c r="I27" s="89"/>
      <c r="J27" s="62"/>
      <c r="K27" s="61"/>
      <c r="L27" s="61"/>
      <c r="M27" s="89"/>
      <c r="N27" s="62"/>
      <c r="O27" s="61"/>
      <c r="P27" s="61"/>
      <c r="Q27" s="61"/>
      <c r="R27" s="89"/>
      <c r="S27" s="85"/>
      <c r="T27" s="111"/>
      <c r="U27" s="18"/>
      <c r="V27" s="85"/>
      <c r="W27" s="70"/>
      <c r="X27" s="3"/>
      <c r="Y27" s="18"/>
      <c r="Z27" s="85"/>
      <c r="AA27" s="85"/>
      <c r="AB27" s="85"/>
      <c r="AC27" s="85"/>
      <c r="AD27" s="85"/>
    </row>
    <row r="28" spans="1:30" ht="15.75" thickBot="1" x14ac:dyDescent="0.3">
      <c r="A28" s="32" t="s">
        <v>17</v>
      </c>
      <c r="B28" s="26">
        <f>AVERAGE(B10:B25)</f>
        <v>2966.6875</v>
      </c>
      <c r="C28" s="34">
        <f>AVERAGE(C10:C25)</f>
        <v>0.76837283087283081</v>
      </c>
      <c r="D28" s="94"/>
      <c r="E28" s="90">
        <f>AVERAGE(E6:E25)</f>
        <v>6789.56</v>
      </c>
      <c r="F28" s="144">
        <f>SUM(F13:F25)</f>
        <v>-42028</v>
      </c>
      <c r="G28" s="144"/>
      <c r="H28" s="144"/>
      <c r="I28" s="73"/>
      <c r="J28" s="90">
        <f>AVERAGE(J6:J25)</f>
        <v>2583.4870000000001</v>
      </c>
      <c r="K28" s="144">
        <f>SUM(K13:K25)</f>
        <v>-4636.4599999999982</v>
      </c>
      <c r="L28" s="144"/>
      <c r="M28" s="153"/>
      <c r="N28" s="90">
        <f>AVERAGE(N6:N25)</f>
        <v>7624.9350000000004</v>
      </c>
      <c r="O28" s="144"/>
      <c r="P28" s="144">
        <f>SUM(P13:P25)</f>
        <v>5465.6</v>
      </c>
      <c r="Q28" s="144"/>
      <c r="R28" s="73"/>
      <c r="S28" s="97">
        <f>AVERAGE(S6:S25)</f>
        <v>16997.982</v>
      </c>
      <c r="T28" s="234"/>
      <c r="U28" s="54"/>
      <c r="V28" s="83"/>
      <c r="W28" s="78"/>
      <c r="X28" s="79"/>
      <c r="Y28" s="80">
        <f>SUM(Y13:Y25)</f>
        <v>-41198.859999999986</v>
      </c>
      <c r="Z28" s="98">
        <f>AVERAGE(Z6:Z25)</f>
        <v>207.91561714662095</v>
      </c>
      <c r="AA28" s="83"/>
      <c r="AB28" s="83"/>
      <c r="AC28" s="83"/>
      <c r="AD28" s="163">
        <f>AVERAGE(AD11:AD19)</f>
        <v>1924.8036476060984</v>
      </c>
    </row>
    <row r="29" spans="1:30" x14ac:dyDescent="0.25">
      <c r="A29" s="20"/>
    </row>
    <row r="30" spans="1:30" x14ac:dyDescent="0.25">
      <c r="A30"/>
      <c r="B30" s="258"/>
      <c r="C30" s="258"/>
    </row>
    <row r="31" spans="1:30" x14ac:dyDescent="0.25">
      <c r="H31" s="20"/>
      <c r="I31" s="20"/>
    </row>
    <row r="38" spans="27:30" x14ac:dyDescent="0.25">
      <c r="AA38" t="str">
        <f>E5</f>
        <v>El MWh</v>
      </c>
      <c r="AD38" s="145">
        <f>F28</f>
        <v>-42028</v>
      </c>
    </row>
    <row r="39" spans="27:30" x14ac:dyDescent="0.25">
      <c r="AA39" t="str">
        <f>J5</f>
        <v>Fjärrkyla MWh</v>
      </c>
      <c r="AD39" s="145">
        <f>K28</f>
        <v>-4636.4599999999982</v>
      </c>
    </row>
    <row r="40" spans="27:30" x14ac:dyDescent="0.25">
      <c r="AA40" t="str">
        <f>N5</f>
        <v>Fjärrvärme MWh</v>
      </c>
      <c r="AD40" s="145">
        <f>P28</f>
        <v>5465.6</v>
      </c>
    </row>
  </sheetData>
  <mergeCells count="25">
    <mergeCell ref="B30:C30"/>
    <mergeCell ref="E4:H4"/>
    <mergeCell ref="J4:M4"/>
    <mergeCell ref="N4:R4"/>
    <mergeCell ref="W2:AA2"/>
    <mergeCell ref="W4:Y4"/>
    <mergeCell ref="B3:C3"/>
    <mergeCell ref="B2:C2"/>
    <mergeCell ref="E2:S3"/>
    <mergeCell ref="D2:D3"/>
    <mergeCell ref="A2:A3"/>
    <mergeCell ref="AG12:AH12"/>
    <mergeCell ref="AF16:AG16"/>
    <mergeCell ref="AG5:AH5"/>
    <mergeCell ref="AG8:AH8"/>
    <mergeCell ref="AG13:AH13"/>
    <mergeCell ref="AG14:AH14"/>
    <mergeCell ref="AG6:AH6"/>
    <mergeCell ref="AG7:AH7"/>
    <mergeCell ref="AG9:AH9"/>
    <mergeCell ref="AG10:AH10"/>
    <mergeCell ref="AG11:AH11"/>
    <mergeCell ref="AG15:AH15"/>
    <mergeCell ref="AB4:AB5"/>
    <mergeCell ref="AC4:AC5"/>
  </mergeCells>
  <conditionalFormatting sqref="H7:I25">
    <cfRule type="cellIs" dxfId="53" priority="15" operator="lessThan">
      <formula>0</formula>
    </cfRule>
    <cfRule type="cellIs" dxfId="52" priority="16" operator="greaterThan">
      <formula>0</formula>
    </cfRule>
  </conditionalFormatting>
  <conditionalFormatting sqref="M7:M25">
    <cfRule type="cellIs" dxfId="51" priority="13" operator="lessThan">
      <formula>0</formula>
    </cfRule>
    <cfRule type="cellIs" dxfId="50" priority="14" operator="greaterThan">
      <formula>0</formula>
    </cfRule>
  </conditionalFormatting>
  <conditionalFormatting sqref="R7:R25">
    <cfRule type="cellIs" dxfId="49" priority="11" operator="lessThan">
      <formula>0</formula>
    </cfRule>
    <cfRule type="cellIs" dxfId="48" priority="12" operator="greaterThan">
      <formula>0</formula>
    </cfRule>
  </conditionalFormatting>
  <conditionalFormatting sqref="W7:W25">
    <cfRule type="cellIs" dxfId="47" priority="9" operator="lessThan">
      <formula>0</formula>
    </cfRule>
    <cfRule type="cellIs" dxfId="46" priority="10" operator="greaterThan">
      <formula>0</formula>
    </cfRule>
  </conditionalFormatting>
  <conditionalFormatting sqref="AA7:AC25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X12:X13">
    <cfRule type="colorScale" priority="1">
      <colorScale>
        <cfvo type="min"/>
        <cfvo type="max"/>
        <color rgb="FF63BE7B"/>
        <color rgb="FFFCFCFF"/>
      </colorScale>
    </cfRule>
  </conditionalFormatting>
  <printOptions horizontalCentered="1" verticalCentered="1"/>
  <pageMargins left="0.25" right="0.25" top="0.75" bottom="0.75" header="0.3" footer="0.3"/>
  <pageSetup paperSize="9" scale="35" fitToHeight="0" orientation="landscape" r:id="rId1"/>
  <ignoredErrors>
    <ignoredError sqref="J7 J8:J16 N7:N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9"/>
  <sheetViews>
    <sheetView zoomScaleNormal="100" workbookViewId="0">
      <selection activeCell="C24" sqref="C24"/>
    </sheetView>
  </sheetViews>
  <sheetFormatPr defaultRowHeight="15" x14ac:dyDescent="0.25"/>
  <cols>
    <col min="1" max="1" width="6.85546875" style="14" customWidth="1"/>
    <col min="2" max="2" width="10" customWidth="1"/>
    <col min="3" max="3" width="10.42578125" customWidth="1"/>
    <col min="4" max="4" width="10.7109375" customWidth="1"/>
    <col min="5" max="5" width="5.28515625" bestFit="1" customWidth="1"/>
    <col min="6" max="6" width="12.28515625" bestFit="1" customWidth="1"/>
    <col min="7" max="7" width="10.7109375" customWidth="1"/>
    <col min="8" max="8" width="5.28515625" bestFit="1" customWidth="1"/>
    <col min="9" max="9" width="12.28515625" bestFit="1" customWidth="1"/>
    <col min="10" max="10" width="10.7109375" customWidth="1"/>
    <col min="11" max="11" width="5.28515625" bestFit="1" customWidth="1"/>
    <col min="12" max="12" width="12.28515625" bestFit="1" customWidth="1"/>
    <col min="13" max="13" width="9.28515625" customWidth="1"/>
    <col min="14" max="14" width="5.5703125" bestFit="1" customWidth="1"/>
    <col min="15" max="15" width="11.28515625" bestFit="1" customWidth="1"/>
    <col min="16" max="16" width="10" customWidth="1"/>
    <col min="17" max="17" width="4.5703125" bestFit="1" customWidth="1"/>
    <col min="18" max="18" width="10.85546875" bestFit="1" customWidth="1"/>
    <col min="20" max="28" width="9.140625" style="54"/>
  </cols>
  <sheetData>
    <row r="1" spans="1:31" ht="43.5" customHeight="1" x14ac:dyDescent="0.25">
      <c r="A1" s="247"/>
      <c r="B1" s="270" t="s">
        <v>1</v>
      </c>
      <c r="C1" s="282"/>
      <c r="D1" s="284" t="s">
        <v>18</v>
      </c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79" t="s">
        <v>96</v>
      </c>
      <c r="U1" s="279"/>
      <c r="V1" s="279"/>
      <c r="W1" s="279"/>
      <c r="X1" s="279"/>
      <c r="Y1" s="279"/>
      <c r="Z1" s="279"/>
      <c r="AA1" s="279"/>
      <c r="AB1" s="199"/>
    </row>
    <row r="2" spans="1:31" ht="15" customHeight="1" thickBot="1" x14ac:dyDescent="0.3">
      <c r="A2" s="248"/>
      <c r="B2" s="268">
        <v>3861</v>
      </c>
      <c r="C2" s="283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79"/>
      <c r="U2" s="279"/>
      <c r="V2" s="279"/>
      <c r="W2" s="279"/>
      <c r="X2" s="279"/>
      <c r="Y2" s="279"/>
      <c r="Z2" s="279"/>
      <c r="AA2" s="279"/>
      <c r="AB2" s="199"/>
    </row>
    <row r="3" spans="1:31" s="46" customFormat="1" ht="15" customHeight="1" x14ac:dyDescent="0.2">
      <c r="A3" s="45"/>
      <c r="B3" s="68"/>
      <c r="C3" s="69"/>
      <c r="D3" s="280" t="s">
        <v>7</v>
      </c>
      <c r="E3" s="281"/>
      <c r="F3" s="92" t="s">
        <v>84</v>
      </c>
      <c r="G3" s="280" t="s">
        <v>6</v>
      </c>
      <c r="H3" s="281"/>
      <c r="I3" s="92" t="s">
        <v>85</v>
      </c>
      <c r="J3" s="280" t="s">
        <v>8</v>
      </c>
      <c r="K3" s="281"/>
      <c r="L3" s="236" t="s">
        <v>86</v>
      </c>
      <c r="M3" s="280" t="s">
        <v>50</v>
      </c>
      <c r="N3" s="281"/>
      <c r="O3" s="92" t="s">
        <v>87</v>
      </c>
      <c r="P3" s="280" t="s">
        <v>102</v>
      </c>
      <c r="Q3" s="281"/>
      <c r="R3" s="92" t="s">
        <v>103</v>
      </c>
      <c r="S3" s="58"/>
      <c r="T3" s="279"/>
      <c r="U3" s="279"/>
      <c r="V3" s="279"/>
      <c r="W3" s="279"/>
      <c r="X3" s="279"/>
      <c r="Y3" s="279"/>
      <c r="Z3" s="279"/>
      <c r="AA3" s="279"/>
      <c r="AB3" s="199"/>
    </row>
    <row r="4" spans="1:31" s="46" customFormat="1" ht="38.25" x14ac:dyDescent="0.2">
      <c r="A4" s="47" t="s">
        <v>16</v>
      </c>
      <c r="B4" s="50" t="s">
        <v>45</v>
      </c>
      <c r="C4" s="49" t="s">
        <v>46</v>
      </c>
      <c r="D4" s="50" t="s">
        <v>2</v>
      </c>
      <c r="E4" s="48" t="s">
        <v>47</v>
      </c>
      <c r="F4" s="48" t="s">
        <v>77</v>
      </c>
      <c r="G4" s="50" t="s">
        <v>2</v>
      </c>
      <c r="H4" s="48" t="s">
        <v>47</v>
      </c>
      <c r="I4" s="48" t="s">
        <v>77</v>
      </c>
      <c r="J4" s="50" t="s">
        <v>2</v>
      </c>
      <c r="K4" s="48" t="s">
        <v>47</v>
      </c>
      <c r="L4" s="48" t="s">
        <v>77</v>
      </c>
      <c r="M4" s="50" t="s">
        <v>2</v>
      </c>
      <c r="N4" s="48" t="s">
        <v>47</v>
      </c>
      <c r="O4" s="48" t="s">
        <v>77</v>
      </c>
      <c r="P4" s="50" t="s">
        <v>2</v>
      </c>
      <c r="Q4" s="48" t="s">
        <v>47</v>
      </c>
      <c r="R4" s="48" t="s">
        <v>77</v>
      </c>
      <c r="S4" s="237" t="s">
        <v>16</v>
      </c>
      <c r="T4" s="186" t="s">
        <v>88</v>
      </c>
      <c r="U4" s="186" t="s">
        <v>89</v>
      </c>
      <c r="V4" s="186" t="s">
        <v>90</v>
      </c>
      <c r="W4" s="186" t="s">
        <v>91</v>
      </c>
      <c r="X4" s="186" t="s">
        <v>92</v>
      </c>
      <c r="Y4" s="186" t="s">
        <v>93</v>
      </c>
      <c r="Z4" s="186" t="s">
        <v>13</v>
      </c>
      <c r="AA4" s="186" t="s">
        <v>94</v>
      </c>
      <c r="AB4" s="178"/>
      <c r="AC4" s="157"/>
      <c r="AD4" s="157"/>
      <c r="AE4" s="157"/>
    </row>
    <row r="5" spans="1:31" x14ac:dyDescent="0.25">
      <c r="A5" s="30">
        <v>2003</v>
      </c>
      <c r="B5" s="15" t="s">
        <v>10</v>
      </c>
      <c r="C5" s="43" t="s">
        <v>10</v>
      </c>
      <c r="D5" s="16">
        <f t="shared" ref="D5:D15" si="0">G5+J5</f>
        <v>6957.2</v>
      </c>
      <c r="E5" s="5" t="s">
        <v>10</v>
      </c>
      <c r="F5" s="10">
        <f t="shared" ref="F5:F15" si="1">D5/78.842</f>
        <v>88.242307399609345</v>
      </c>
      <c r="G5" s="16">
        <v>5181</v>
      </c>
      <c r="H5" s="5" t="s">
        <v>10</v>
      </c>
      <c r="I5" s="10">
        <f t="shared" ref="I5:I23" si="2">G5/59.901</f>
        <v>86.49271297641107</v>
      </c>
      <c r="J5" s="16">
        <v>1776.2</v>
      </c>
      <c r="K5" s="5" t="s">
        <v>10</v>
      </c>
      <c r="L5" s="11">
        <f t="shared" ref="L5:L23" si="3">J5/18.941</f>
        <v>93.775407845414719</v>
      </c>
      <c r="M5" s="71" t="s">
        <v>10</v>
      </c>
      <c r="N5" s="11" t="s">
        <v>10</v>
      </c>
      <c r="O5" s="11" t="s">
        <v>10</v>
      </c>
      <c r="P5" s="15"/>
      <c r="Q5" s="14"/>
      <c r="R5" s="14"/>
      <c r="S5" s="74">
        <f t="shared" ref="S5:S24" si="4">A5</f>
        <v>2003</v>
      </c>
      <c r="T5" s="204">
        <f t="shared" ref="T5:T24" si="5">G5*(15046/59901)</f>
        <v>1301.3693594430811</v>
      </c>
      <c r="U5" s="204">
        <f t="shared" ref="U5:U24" si="6">G5*(5466.5/59901)</f>
        <v>472.81241548555113</v>
      </c>
      <c r="V5" s="204">
        <f t="shared" ref="V5:V24" si="7">G5*(3379.4/59901)</f>
        <v>292.29347423248362</v>
      </c>
      <c r="W5" s="204">
        <f t="shared" ref="W5:W24" si="8">G5*(17118.2/59901)</f>
        <v>1480.5995592728002</v>
      </c>
      <c r="X5" s="204">
        <f t="shared" ref="X5:X24" si="9">J5*(722/18941)</f>
        <v>67.705844464389429</v>
      </c>
      <c r="Y5" s="204">
        <f t="shared" ref="Y5:Y24" si="10">J5*(17811.9/18941)</f>
        <v>1670.3181870017424</v>
      </c>
      <c r="Z5" s="204">
        <f t="shared" ref="Z5:Z24" si="11">G5*(18891/59901)</f>
        <v>1633.9338408373817</v>
      </c>
      <c r="AA5" s="204">
        <f t="shared" ref="AA5:AA24" si="12">J5*(407.4/18941)</f>
        <v>38.204101156221952</v>
      </c>
      <c r="AB5" s="158"/>
    </row>
    <row r="6" spans="1:31" x14ac:dyDescent="0.25">
      <c r="A6" s="30">
        <v>2004</v>
      </c>
      <c r="B6" s="15" t="s">
        <v>10</v>
      </c>
      <c r="C6" s="43" t="s">
        <v>10</v>
      </c>
      <c r="D6" s="16">
        <f t="shared" si="0"/>
        <v>6664.7</v>
      </c>
      <c r="E6" s="118">
        <f>(D6/D5)-1</f>
        <v>-4.2042775829356671E-2</v>
      </c>
      <c r="F6" s="10">
        <f t="shared" si="1"/>
        <v>84.532355850942395</v>
      </c>
      <c r="G6" s="16">
        <v>5273</v>
      </c>
      <c r="H6" s="118">
        <f>(G6/G5)-1</f>
        <v>1.775718973171192E-2</v>
      </c>
      <c r="I6" s="10">
        <f t="shared" si="2"/>
        <v>88.028580491143714</v>
      </c>
      <c r="J6" s="16">
        <v>1391.7</v>
      </c>
      <c r="K6" s="118">
        <f>(J6/J5)-1</f>
        <v>-0.21647337011597789</v>
      </c>
      <c r="L6" s="11">
        <f t="shared" si="3"/>
        <v>73.475529275117481</v>
      </c>
      <c r="M6" s="71" t="s">
        <v>10</v>
      </c>
      <c r="N6" s="11" t="s">
        <v>10</v>
      </c>
      <c r="O6" s="11" t="s">
        <v>10</v>
      </c>
      <c r="P6" s="15"/>
      <c r="Q6" s="14"/>
      <c r="R6" s="14"/>
      <c r="S6" s="74">
        <f t="shared" si="4"/>
        <v>2004</v>
      </c>
      <c r="T6" s="204">
        <f t="shared" si="5"/>
        <v>1324.4780220697485</v>
      </c>
      <c r="U6" s="204">
        <f t="shared" si="6"/>
        <v>481.20823525483712</v>
      </c>
      <c r="V6" s="204">
        <f t="shared" si="7"/>
        <v>297.48378491177112</v>
      </c>
      <c r="W6" s="204">
        <f t="shared" si="8"/>
        <v>1506.8908465634966</v>
      </c>
      <c r="X6" s="204">
        <f t="shared" si="9"/>
        <v>53.049332136634817</v>
      </c>
      <c r="Y6" s="204">
        <f t="shared" si="10"/>
        <v>1308.7387798954649</v>
      </c>
      <c r="Z6" s="204">
        <f t="shared" si="11"/>
        <v>1662.9479140581959</v>
      </c>
      <c r="AA6" s="204">
        <f t="shared" si="12"/>
        <v>29.933930626682855</v>
      </c>
      <c r="AB6" s="158"/>
    </row>
    <row r="7" spans="1:31" x14ac:dyDescent="0.25">
      <c r="A7" s="30">
        <v>2005</v>
      </c>
      <c r="B7" s="15" t="s">
        <v>10</v>
      </c>
      <c r="C7" s="43" t="s">
        <v>10</v>
      </c>
      <c r="D7" s="16">
        <f t="shared" si="0"/>
        <v>6961.1</v>
      </c>
      <c r="E7" s="118">
        <f t="shared" ref="E7:E18" si="13">(D7/D6)-1</f>
        <v>4.4473119570273223E-2</v>
      </c>
      <c r="F7" s="10">
        <f t="shared" si="1"/>
        <v>88.291773420258238</v>
      </c>
      <c r="G7" s="16">
        <v>5552</v>
      </c>
      <c r="H7" s="118">
        <f t="shared" ref="H7:H16" si="14">(G7/G6)-1</f>
        <v>5.2911056324672856E-2</v>
      </c>
      <c r="I7" s="10">
        <f t="shared" si="2"/>
        <v>92.686265671691615</v>
      </c>
      <c r="J7" s="16">
        <v>1409.1</v>
      </c>
      <c r="K7" s="118">
        <f t="shared" ref="K7:K16" si="15">(J7/J6)-1</f>
        <v>1.2502694546238313E-2</v>
      </c>
      <c r="L7" s="11">
        <f t="shared" si="3"/>
        <v>74.394171374267458</v>
      </c>
      <c r="M7" s="71" t="s">
        <v>10</v>
      </c>
      <c r="N7" s="11" t="s">
        <v>10</v>
      </c>
      <c r="O7" s="11" t="s">
        <v>10</v>
      </c>
      <c r="P7" s="15"/>
      <c r="Q7" s="14"/>
      <c r="R7" s="14"/>
      <c r="S7" s="74">
        <f t="shared" si="4"/>
        <v>2005</v>
      </c>
      <c r="T7" s="204">
        <f t="shared" si="5"/>
        <v>1394.5575532962721</v>
      </c>
      <c r="U7" s="204">
        <f t="shared" si="6"/>
        <v>506.66947129430224</v>
      </c>
      <c r="V7" s="204">
        <f t="shared" si="7"/>
        <v>313.22396621091468</v>
      </c>
      <c r="W7" s="204">
        <f t="shared" si="8"/>
        <v>1586.6220330211515</v>
      </c>
      <c r="X7" s="204">
        <f t="shared" si="9"/>
        <v>53.712591732221107</v>
      </c>
      <c r="Y7" s="204">
        <f t="shared" si="10"/>
        <v>1325.1015411013145</v>
      </c>
      <c r="Z7" s="204">
        <f t="shared" si="11"/>
        <v>1750.9362448039265</v>
      </c>
      <c r="AA7" s="204">
        <f t="shared" si="12"/>
        <v>30.308185417876562</v>
      </c>
      <c r="AB7" s="158"/>
    </row>
    <row r="8" spans="1:31" x14ac:dyDescent="0.25">
      <c r="A8" s="30">
        <v>2006</v>
      </c>
      <c r="B8" s="15" t="s">
        <v>10</v>
      </c>
      <c r="C8" s="43" t="s">
        <v>10</v>
      </c>
      <c r="D8" s="16">
        <f t="shared" si="0"/>
        <v>7311</v>
      </c>
      <c r="E8" s="118">
        <f t="shared" si="13"/>
        <v>5.0265044317708396E-2</v>
      </c>
      <c r="F8" s="10">
        <f t="shared" si="1"/>
        <v>92.72976332411659</v>
      </c>
      <c r="G8" s="16">
        <v>5916</v>
      </c>
      <c r="H8" s="118">
        <f t="shared" si="14"/>
        <v>6.556195965417877E-2</v>
      </c>
      <c r="I8" s="10">
        <f t="shared" si="2"/>
        <v>98.762958882155544</v>
      </c>
      <c r="J8" s="16">
        <v>1395</v>
      </c>
      <c r="K8" s="118">
        <f t="shared" si="15"/>
        <v>-1.0006387055567334E-2</v>
      </c>
      <c r="L8" s="11">
        <f t="shared" si="3"/>
        <v>73.649754500818332</v>
      </c>
      <c r="M8" s="71" t="s">
        <v>10</v>
      </c>
      <c r="N8" s="11" t="s">
        <v>10</v>
      </c>
      <c r="O8" s="11" t="s">
        <v>10</v>
      </c>
      <c r="P8" s="15"/>
      <c r="Q8" s="14"/>
      <c r="R8" s="14"/>
      <c r="S8" s="74">
        <f t="shared" si="4"/>
        <v>2006</v>
      </c>
      <c r="T8" s="204">
        <f t="shared" si="5"/>
        <v>1485.9874793409126</v>
      </c>
      <c r="U8" s="204">
        <f t="shared" si="6"/>
        <v>539.8877147293033</v>
      </c>
      <c r="V8" s="204">
        <f t="shared" si="7"/>
        <v>333.75954324635649</v>
      </c>
      <c r="W8" s="204">
        <f t="shared" si="8"/>
        <v>1690.6440827365154</v>
      </c>
      <c r="X8" s="204">
        <f t="shared" si="9"/>
        <v>53.175122749590834</v>
      </c>
      <c r="Y8" s="204">
        <f t="shared" si="10"/>
        <v>1311.8420621931261</v>
      </c>
      <c r="Z8" s="204">
        <f t="shared" si="11"/>
        <v>1865.7310562428006</v>
      </c>
      <c r="AA8" s="204">
        <f t="shared" si="12"/>
        <v>30.004909983633386</v>
      </c>
      <c r="AB8" s="158"/>
    </row>
    <row r="9" spans="1:31" x14ac:dyDescent="0.25">
      <c r="A9" s="30">
        <v>2007</v>
      </c>
      <c r="B9" s="16">
        <v>2624</v>
      </c>
      <c r="C9" s="19">
        <f>B9/B2</f>
        <v>0.6796166796166796</v>
      </c>
      <c r="D9" s="16">
        <f t="shared" si="0"/>
        <v>8874.5</v>
      </c>
      <c r="E9" s="118">
        <f t="shared" si="13"/>
        <v>0.21385583367528382</v>
      </c>
      <c r="F9" s="10">
        <f t="shared" si="1"/>
        <v>112.5605641663073</v>
      </c>
      <c r="G9" s="16">
        <v>7283</v>
      </c>
      <c r="H9" s="118">
        <f t="shared" si="14"/>
        <v>0.23106828938471935</v>
      </c>
      <c r="I9" s="10">
        <f t="shared" si="2"/>
        <v>121.58394684562862</v>
      </c>
      <c r="J9" s="16">
        <v>1591.5</v>
      </c>
      <c r="K9" s="118">
        <f t="shared" si="15"/>
        <v>0.14086021505376345</v>
      </c>
      <c r="L9" s="11">
        <f t="shared" si="3"/>
        <v>84.024074758460486</v>
      </c>
      <c r="M9" s="71" t="s">
        <v>10</v>
      </c>
      <c r="N9" s="11" t="s">
        <v>10</v>
      </c>
      <c r="O9" s="11" t="s">
        <v>10</v>
      </c>
      <c r="P9" s="15"/>
      <c r="Q9" s="14"/>
      <c r="R9" s="14"/>
      <c r="S9" s="74">
        <f t="shared" si="4"/>
        <v>2007</v>
      </c>
      <c r="T9" s="204">
        <f t="shared" si="5"/>
        <v>1829.3520642393282</v>
      </c>
      <c r="U9" s="204">
        <f t="shared" si="6"/>
        <v>664.63864543162879</v>
      </c>
      <c r="V9" s="204">
        <f t="shared" si="7"/>
        <v>410.88078997011741</v>
      </c>
      <c r="W9" s="204">
        <f t="shared" si="8"/>
        <v>2081.2983188928401</v>
      </c>
      <c r="X9" s="204">
        <f t="shared" si="9"/>
        <v>60.665381975608469</v>
      </c>
      <c r="Y9" s="204">
        <f t="shared" si="10"/>
        <v>1496.6284171902223</v>
      </c>
      <c r="Z9" s="204">
        <f t="shared" si="11"/>
        <v>2296.8423398607702</v>
      </c>
      <c r="AA9" s="204">
        <f t="shared" si="12"/>
        <v>34.231408056596798</v>
      </c>
      <c r="AB9" s="158"/>
    </row>
    <row r="10" spans="1:31" x14ac:dyDescent="0.25">
      <c r="A10" s="30">
        <v>2008</v>
      </c>
      <c r="B10" s="16">
        <v>2736</v>
      </c>
      <c r="C10" s="19">
        <f>B10/B2</f>
        <v>0.70862470862470861</v>
      </c>
      <c r="D10" s="16">
        <f t="shared" si="0"/>
        <v>9261.7000000000007</v>
      </c>
      <c r="E10" s="118">
        <f t="shared" si="13"/>
        <v>4.3630627077581918E-2</v>
      </c>
      <c r="F10" s="10">
        <f t="shared" si="1"/>
        <v>117.47165216508968</v>
      </c>
      <c r="G10" s="16">
        <v>7673</v>
      </c>
      <c r="H10" s="118">
        <f t="shared" si="14"/>
        <v>5.354936152684342E-2</v>
      </c>
      <c r="I10" s="10">
        <f t="shared" si="2"/>
        <v>128.09468957112568</v>
      </c>
      <c r="J10" s="16">
        <v>1588.7</v>
      </c>
      <c r="K10" s="118">
        <f t="shared" si="15"/>
        <v>-1.7593465284322374E-3</v>
      </c>
      <c r="L10" s="11">
        <f t="shared" si="3"/>
        <v>83.876247294229458</v>
      </c>
      <c r="M10" s="71" t="s">
        <v>10</v>
      </c>
      <c r="N10" s="11" t="s">
        <v>10</v>
      </c>
      <c r="O10" s="11" t="s">
        <v>10</v>
      </c>
      <c r="P10" s="15"/>
      <c r="Q10" s="14"/>
      <c r="R10" s="14"/>
      <c r="S10" s="74">
        <f t="shared" si="4"/>
        <v>2008</v>
      </c>
      <c r="T10" s="204">
        <f t="shared" si="5"/>
        <v>1927.3126992871571</v>
      </c>
      <c r="U10" s="204">
        <f t="shared" si="6"/>
        <v>700.22962054055859</v>
      </c>
      <c r="V10" s="204">
        <f t="shared" si="7"/>
        <v>432.88319393666217</v>
      </c>
      <c r="W10" s="204">
        <f t="shared" si="8"/>
        <v>2192.7505150164438</v>
      </c>
      <c r="X10" s="204">
        <f t="shared" si="9"/>
        <v>60.558650546433668</v>
      </c>
      <c r="Y10" s="204">
        <f t="shared" si="10"/>
        <v>1493.9953291800857</v>
      </c>
      <c r="Z10" s="204">
        <f t="shared" si="11"/>
        <v>2419.8367806881351</v>
      </c>
      <c r="AA10" s="204">
        <f t="shared" si="12"/>
        <v>34.171183147669076</v>
      </c>
      <c r="AB10" s="158"/>
    </row>
    <row r="11" spans="1:31" x14ac:dyDescent="0.25">
      <c r="A11" s="102">
        <v>2009</v>
      </c>
      <c r="B11" s="100">
        <v>2835</v>
      </c>
      <c r="C11" s="101">
        <f>B11/B2</f>
        <v>0.73426573426573427</v>
      </c>
      <c r="D11" s="100">
        <f t="shared" si="0"/>
        <v>9413.5</v>
      </c>
      <c r="E11" s="119">
        <f t="shared" si="13"/>
        <v>1.639007957502403E-2</v>
      </c>
      <c r="F11" s="103">
        <f t="shared" si="1"/>
        <v>119.39702189188503</v>
      </c>
      <c r="G11" s="100">
        <v>7866</v>
      </c>
      <c r="H11" s="119">
        <f t="shared" si="14"/>
        <v>2.5153134367261742E-2</v>
      </c>
      <c r="I11" s="103">
        <f t="shared" si="2"/>
        <v>131.31667250964091</v>
      </c>
      <c r="J11" s="100">
        <v>1547.5</v>
      </c>
      <c r="K11" s="119">
        <f t="shared" si="15"/>
        <v>-2.5933152892301914E-2</v>
      </c>
      <c r="L11" s="104">
        <f t="shared" si="3"/>
        <v>81.701071749115684</v>
      </c>
      <c r="M11" s="71" t="s">
        <v>10</v>
      </c>
      <c r="N11" s="11" t="s">
        <v>10</v>
      </c>
      <c r="O11" s="11" t="s">
        <v>10</v>
      </c>
      <c r="P11" s="15"/>
      <c r="Q11" s="14"/>
      <c r="R11" s="14"/>
      <c r="S11" s="74">
        <f t="shared" si="4"/>
        <v>2009</v>
      </c>
      <c r="T11" s="204">
        <f t="shared" si="5"/>
        <v>1975.7906545800572</v>
      </c>
      <c r="U11" s="204">
        <f t="shared" si="6"/>
        <v>717.84259027395194</v>
      </c>
      <c r="V11" s="204">
        <f t="shared" si="7"/>
        <v>443.77156307908052</v>
      </c>
      <c r="W11" s="204">
        <f t="shared" si="8"/>
        <v>2247.9050633545353</v>
      </c>
      <c r="X11" s="204">
        <f t="shared" si="9"/>
        <v>58.988173802861517</v>
      </c>
      <c r="Y11" s="204">
        <f t="shared" si="10"/>
        <v>1455.2513198880736</v>
      </c>
      <c r="Z11" s="204">
        <f t="shared" si="11"/>
        <v>2480.7032603796265</v>
      </c>
      <c r="AA11" s="204">
        <f t="shared" si="12"/>
        <v>33.285016630589723</v>
      </c>
      <c r="AB11" s="158"/>
    </row>
    <row r="12" spans="1:31" x14ac:dyDescent="0.25">
      <c r="A12" s="30">
        <v>2010</v>
      </c>
      <c r="B12" s="16">
        <v>3906</v>
      </c>
      <c r="C12" s="19">
        <f>B12/B2</f>
        <v>1.0116550116550116</v>
      </c>
      <c r="D12" s="16">
        <f t="shared" si="0"/>
        <v>7947.3</v>
      </c>
      <c r="E12" s="118">
        <f t="shared" si="13"/>
        <v>-0.15575503266585222</v>
      </c>
      <c r="F12" s="10">
        <f t="shared" si="1"/>
        <v>100.80033484690901</v>
      </c>
      <c r="G12" s="16">
        <v>6511</v>
      </c>
      <c r="H12" s="118">
        <f t="shared" si="14"/>
        <v>-0.17226036104754638</v>
      </c>
      <c r="I12" s="10">
        <f t="shared" si="2"/>
        <v>108.69601509156774</v>
      </c>
      <c r="J12" s="16">
        <v>1436.3</v>
      </c>
      <c r="K12" s="118">
        <f t="shared" si="15"/>
        <v>-7.1857835218093746E-2</v>
      </c>
      <c r="L12" s="11">
        <f t="shared" si="3"/>
        <v>75.830209598226077</v>
      </c>
      <c r="M12" s="71" t="s">
        <v>10</v>
      </c>
      <c r="N12" s="11" t="s">
        <v>10</v>
      </c>
      <c r="O12" s="11" t="s">
        <v>10</v>
      </c>
      <c r="P12" s="15"/>
      <c r="Q12" s="14"/>
      <c r="R12" s="14"/>
      <c r="S12" s="74">
        <f t="shared" si="4"/>
        <v>2010</v>
      </c>
      <c r="T12" s="204">
        <f t="shared" si="5"/>
        <v>1635.4402430677285</v>
      </c>
      <c r="U12" s="204">
        <f t="shared" si="6"/>
        <v>594.18676649805514</v>
      </c>
      <c r="V12" s="204">
        <f t="shared" si="7"/>
        <v>367.3273134004441</v>
      </c>
      <c r="W12" s="204">
        <f t="shared" si="8"/>
        <v>1860.6801255404753</v>
      </c>
      <c r="X12" s="204">
        <f t="shared" si="9"/>
        <v>54.749411329919219</v>
      </c>
      <c r="Y12" s="204">
        <f t="shared" si="10"/>
        <v>1350.680110342643</v>
      </c>
      <c r="Z12" s="204">
        <f t="shared" si="11"/>
        <v>2053.3764210948066</v>
      </c>
      <c r="AA12" s="204">
        <f t="shared" si="12"/>
        <v>30.8932273903173</v>
      </c>
      <c r="AB12" s="158"/>
    </row>
    <row r="13" spans="1:31" x14ac:dyDescent="0.25">
      <c r="A13" s="30">
        <v>2011</v>
      </c>
      <c r="B13" s="16">
        <v>3287</v>
      </c>
      <c r="C13" s="19">
        <f>B13/B2</f>
        <v>0.85133385133385131</v>
      </c>
      <c r="D13" s="16">
        <f t="shared" si="0"/>
        <v>6919</v>
      </c>
      <c r="E13" s="118">
        <f t="shared" si="13"/>
        <v>-0.12938985567425421</v>
      </c>
      <c r="F13" s="10">
        <f t="shared" si="1"/>
        <v>87.757794069150961</v>
      </c>
      <c r="G13" s="16">
        <v>5530</v>
      </c>
      <c r="H13" s="118">
        <f t="shared" si="14"/>
        <v>-0.15066810013822762</v>
      </c>
      <c r="I13" s="10">
        <f t="shared" si="2"/>
        <v>92.318993005125122</v>
      </c>
      <c r="J13" s="16">
        <v>1389</v>
      </c>
      <c r="K13" s="118">
        <f t="shared" si="15"/>
        <v>-3.2931838752349729E-2</v>
      </c>
      <c r="L13" s="11">
        <f t="shared" si="3"/>
        <v>73.332981363180409</v>
      </c>
      <c r="M13" s="71" t="s">
        <v>10</v>
      </c>
      <c r="N13" s="11" t="s">
        <v>10</v>
      </c>
      <c r="O13" s="11" t="s">
        <v>10</v>
      </c>
      <c r="P13" s="15"/>
      <c r="Q13" s="14"/>
      <c r="R13" s="14"/>
      <c r="S13" s="74">
        <f t="shared" si="4"/>
        <v>2011</v>
      </c>
      <c r="T13" s="204">
        <f t="shared" si="5"/>
        <v>1389.0315687551126</v>
      </c>
      <c r="U13" s="204">
        <f t="shared" si="6"/>
        <v>504.66177526251647</v>
      </c>
      <c r="V13" s="204">
        <f t="shared" si="7"/>
        <v>311.98280496151983</v>
      </c>
      <c r="W13" s="204">
        <f t="shared" si="8"/>
        <v>1580.334986060333</v>
      </c>
      <c r="X13" s="204">
        <f t="shared" si="9"/>
        <v>52.946412544216251</v>
      </c>
      <c r="Y13" s="204">
        <f t="shared" si="10"/>
        <v>1306.199730742833</v>
      </c>
      <c r="Z13" s="204">
        <f t="shared" si="11"/>
        <v>1743.9980968598186</v>
      </c>
      <c r="AA13" s="204">
        <f t="shared" si="12"/>
        <v>29.875856607359694</v>
      </c>
      <c r="AB13" s="158"/>
    </row>
    <row r="14" spans="1:31" x14ac:dyDescent="0.25">
      <c r="A14" s="30">
        <v>2012</v>
      </c>
      <c r="B14" s="16">
        <v>3264</v>
      </c>
      <c r="C14" s="19">
        <f>B14/B2</f>
        <v>0.84537684537684543</v>
      </c>
      <c r="D14" s="16">
        <f t="shared" si="0"/>
        <v>6387</v>
      </c>
      <c r="E14" s="118">
        <f t="shared" si="13"/>
        <v>-7.6889723948547428E-2</v>
      </c>
      <c r="F14" s="10">
        <f t="shared" si="1"/>
        <v>81.01012150884047</v>
      </c>
      <c r="G14" s="16">
        <v>5071</v>
      </c>
      <c r="H14" s="118">
        <f t="shared" si="14"/>
        <v>-8.3001808318263981E-2</v>
      </c>
      <c r="I14" s="10">
        <f t="shared" si="2"/>
        <v>84.656349643578565</v>
      </c>
      <c r="J14" s="16">
        <v>1316</v>
      </c>
      <c r="K14" s="118">
        <f t="shared" si="15"/>
        <v>-5.2555795536357142E-2</v>
      </c>
      <c r="L14" s="11">
        <f t="shared" si="3"/>
        <v>69.478908188585606</v>
      </c>
      <c r="M14" s="71" t="s">
        <v>10</v>
      </c>
      <c r="N14" s="11" t="s">
        <v>10</v>
      </c>
      <c r="O14" s="11" t="s">
        <v>10</v>
      </c>
      <c r="P14" s="15"/>
      <c r="Q14" s="14"/>
      <c r="R14" s="14"/>
      <c r="S14" s="74">
        <f t="shared" si="4"/>
        <v>2012</v>
      </c>
      <c r="T14" s="204">
        <f t="shared" si="5"/>
        <v>1273.7394367372833</v>
      </c>
      <c r="U14" s="204">
        <f t="shared" si="6"/>
        <v>462.77393532662222</v>
      </c>
      <c r="V14" s="204">
        <f t="shared" si="7"/>
        <v>286.08766798550943</v>
      </c>
      <c r="W14" s="204">
        <f t="shared" si="8"/>
        <v>1449.1643244687068</v>
      </c>
      <c r="X14" s="204">
        <f t="shared" si="9"/>
        <v>50.163771712158812</v>
      </c>
      <c r="Y14" s="204">
        <f t="shared" si="10"/>
        <v>1237.5513647642681</v>
      </c>
      <c r="Z14" s="204">
        <f t="shared" si="11"/>
        <v>1599.2431011168428</v>
      </c>
      <c r="AA14" s="204">
        <f t="shared" si="12"/>
        <v>28.305707196029775</v>
      </c>
      <c r="AB14" s="158"/>
    </row>
    <row r="15" spans="1:31" x14ac:dyDescent="0.25">
      <c r="A15" s="30">
        <v>2013</v>
      </c>
      <c r="B15" s="87">
        <v>3389</v>
      </c>
      <c r="C15" s="19">
        <f>B15/B2</f>
        <v>0.8777518777518778</v>
      </c>
      <c r="D15" s="16">
        <f t="shared" si="0"/>
        <v>5987.1</v>
      </c>
      <c r="E15" s="118">
        <f t="shared" si="13"/>
        <v>-6.2611554720526041E-2</v>
      </c>
      <c r="F15" s="10">
        <f t="shared" si="1"/>
        <v>75.937951853073244</v>
      </c>
      <c r="G15" s="16">
        <v>4787</v>
      </c>
      <c r="H15" s="118">
        <f t="shared" si="14"/>
        <v>-5.6004732794320611E-2</v>
      </c>
      <c r="I15" s="10">
        <f t="shared" si="2"/>
        <v>79.915193402447372</v>
      </c>
      <c r="J15" s="16">
        <f>1278-M15</f>
        <v>1200.0999999999999</v>
      </c>
      <c r="K15" s="118">
        <f t="shared" si="15"/>
        <v>-8.8069908814589759E-2</v>
      </c>
      <c r="L15" s="11">
        <f t="shared" si="3"/>
        <v>63.359907079879626</v>
      </c>
      <c r="M15" s="71">
        <v>77.900000000000006</v>
      </c>
      <c r="N15" s="11" t="s">
        <v>10</v>
      </c>
      <c r="O15" s="10">
        <f>(M15/4.826)/0.35</f>
        <v>46.119235095613064</v>
      </c>
      <c r="P15" s="71"/>
      <c r="Q15" s="11"/>
      <c r="R15" s="11"/>
      <c r="S15" s="74">
        <f t="shared" si="4"/>
        <v>2013</v>
      </c>
      <c r="T15" s="204">
        <f t="shared" si="5"/>
        <v>1202.4039999332231</v>
      </c>
      <c r="U15" s="204">
        <f t="shared" si="6"/>
        <v>436.85640473447853</v>
      </c>
      <c r="V15" s="204">
        <f t="shared" si="7"/>
        <v>270.06540458423063</v>
      </c>
      <c r="W15" s="204">
        <f t="shared" si="8"/>
        <v>1368.0042637017746</v>
      </c>
      <c r="X15" s="204">
        <f t="shared" si="9"/>
        <v>45.74585291167309</v>
      </c>
      <c r="Y15" s="204">
        <f t="shared" si="10"/>
        <v>1128.5603289161079</v>
      </c>
      <c r="Z15" s="204">
        <f t="shared" si="11"/>
        <v>1509.6779185656333</v>
      </c>
      <c r="AA15" s="204">
        <f t="shared" si="12"/>
        <v>25.812826144342957</v>
      </c>
      <c r="AB15" s="158"/>
    </row>
    <row r="16" spans="1:31" x14ac:dyDescent="0.25">
      <c r="A16" s="30">
        <v>2014</v>
      </c>
      <c r="B16" s="87">
        <f>Sammanställning!B17</f>
        <v>2707</v>
      </c>
      <c r="C16" s="19">
        <f>B16/B2</f>
        <v>0.70111370111370108</v>
      </c>
      <c r="D16" s="16">
        <f>G16+J16+M16</f>
        <v>6187</v>
      </c>
      <c r="E16" s="118">
        <f t="shared" si="13"/>
        <v>3.3388451838118449E-2</v>
      </c>
      <c r="F16" s="10">
        <f t="shared" ref="F16:F23" si="16">D16/83.668</f>
        <v>73.947028732609837</v>
      </c>
      <c r="G16" s="16">
        <v>4618</v>
      </c>
      <c r="H16" s="118">
        <f t="shared" si="14"/>
        <v>-3.5303948193022738E-2</v>
      </c>
      <c r="I16" s="10">
        <f t="shared" si="2"/>
        <v>77.093871554731976</v>
      </c>
      <c r="J16" s="16">
        <f>1569-M16</f>
        <v>1215.3</v>
      </c>
      <c r="K16" s="118">
        <f t="shared" si="15"/>
        <v>1.266561119906684E-2</v>
      </c>
      <c r="L16" s="11">
        <f t="shared" si="3"/>
        <v>64.162399028562376</v>
      </c>
      <c r="M16" s="15">
        <v>353.7</v>
      </c>
      <c r="N16" s="147">
        <f t="shared" ref="N16:N23" si="17">(M16/M15)-1</f>
        <v>3.5404364569961482</v>
      </c>
      <c r="O16" s="10">
        <f t="shared" ref="O16:O23" si="18">(M16/4.826)</f>
        <v>73.290509738914224</v>
      </c>
      <c r="P16" s="71"/>
      <c r="Q16" s="11"/>
      <c r="R16" s="11"/>
      <c r="S16" s="74">
        <f t="shared" si="4"/>
        <v>2014</v>
      </c>
      <c r="T16" s="204">
        <f t="shared" si="5"/>
        <v>1159.9543914124972</v>
      </c>
      <c r="U16" s="204">
        <f t="shared" si="6"/>
        <v>421.43364885394232</v>
      </c>
      <c r="V16" s="204">
        <f t="shared" si="7"/>
        <v>260.53102953206127</v>
      </c>
      <c r="W16" s="204">
        <f t="shared" si="8"/>
        <v>1319.708312048213</v>
      </c>
      <c r="X16" s="204">
        <f t="shared" si="9"/>
        <v>46.325252098622038</v>
      </c>
      <c r="Y16" s="204">
        <f t="shared" si="10"/>
        <v>1142.8542352568502</v>
      </c>
      <c r="Z16" s="204">
        <f t="shared" si="11"/>
        <v>1456.3803275404416</v>
      </c>
      <c r="AA16" s="204">
        <f t="shared" si="12"/>
        <v>26.13976136423631</v>
      </c>
      <c r="AB16" s="158"/>
    </row>
    <row r="17" spans="1:28" x14ac:dyDescent="0.25">
      <c r="A17" s="30">
        <v>2015</v>
      </c>
      <c r="B17" s="87">
        <f>Sammanställning!B18</f>
        <v>2712</v>
      </c>
      <c r="C17" s="19">
        <f>Sammanställning!B18/B2</f>
        <v>0.70240870240870246</v>
      </c>
      <c r="D17" s="16">
        <f>G17+J17+M17</f>
        <v>6025</v>
      </c>
      <c r="E17" s="118">
        <f t="shared" si="13"/>
        <v>-2.6183934055277192E-2</v>
      </c>
      <c r="F17" s="10">
        <f t="shared" si="16"/>
        <v>72.010804608691487</v>
      </c>
      <c r="G17" s="16">
        <v>4489</v>
      </c>
      <c r="H17" s="118">
        <f t="shared" ref="H17:H18" si="19">(G17/G16)-1</f>
        <v>-2.7934170636639277E-2</v>
      </c>
      <c r="I17" s="10">
        <f t="shared" si="2"/>
        <v>74.940318191682934</v>
      </c>
      <c r="J17" s="16">
        <f>1536-M17</f>
        <v>1206.2</v>
      </c>
      <c r="K17" s="118">
        <f t="shared" ref="K17:K18" si="20">(J17/J16)-1</f>
        <v>-7.4878630790750078E-3</v>
      </c>
      <c r="L17" s="11">
        <f t="shared" si="3"/>
        <v>63.681959769811527</v>
      </c>
      <c r="M17" s="15">
        <v>329.8</v>
      </c>
      <c r="N17" s="147">
        <f t="shared" si="17"/>
        <v>-6.7571388182075198E-2</v>
      </c>
      <c r="O17" s="10">
        <f t="shared" si="18"/>
        <v>68.33816825528389</v>
      </c>
      <c r="P17" s="71"/>
      <c r="Q17" s="11"/>
      <c r="R17" s="11"/>
      <c r="S17" s="74">
        <f t="shared" si="4"/>
        <v>2015</v>
      </c>
      <c r="T17" s="204">
        <f t="shared" si="5"/>
        <v>1127.5520275120616</v>
      </c>
      <c r="U17" s="204">
        <f t="shared" si="6"/>
        <v>409.66124939483478</v>
      </c>
      <c r="V17" s="204">
        <f t="shared" si="7"/>
        <v>253.25331129697335</v>
      </c>
      <c r="W17" s="204">
        <f t="shared" si="8"/>
        <v>1282.843354868867</v>
      </c>
      <c r="X17" s="204">
        <f t="shared" si="9"/>
        <v>45.978374953803922</v>
      </c>
      <c r="Y17" s="204">
        <f t="shared" si="10"/>
        <v>1134.296699223906</v>
      </c>
      <c r="Z17" s="204">
        <f t="shared" si="11"/>
        <v>1415.6975509590825</v>
      </c>
      <c r="AA17" s="204">
        <f t="shared" si="12"/>
        <v>25.944030410221213</v>
      </c>
      <c r="AB17" s="158"/>
    </row>
    <row r="18" spans="1:28" x14ac:dyDescent="0.25">
      <c r="A18" s="30">
        <v>2016</v>
      </c>
      <c r="B18" s="87">
        <f>Sammanställning!B19</f>
        <v>2950</v>
      </c>
      <c r="C18" s="19">
        <f>Sammanställning!B19/$B$2</f>
        <v>0.764050764050764</v>
      </c>
      <c r="D18" s="16">
        <f>G18+J18+M18</f>
        <v>6168</v>
      </c>
      <c r="E18" s="118">
        <f t="shared" si="13"/>
        <v>2.3734439834024901E-2</v>
      </c>
      <c r="F18" s="10">
        <f t="shared" si="16"/>
        <v>73.719940718076202</v>
      </c>
      <c r="G18" s="16">
        <v>4633</v>
      </c>
      <c r="H18" s="118">
        <f t="shared" si="19"/>
        <v>3.207841390064603E-2</v>
      </c>
      <c r="I18" s="10">
        <f t="shared" si="2"/>
        <v>77.344284736481853</v>
      </c>
      <c r="J18" s="16">
        <f>1535-M18</f>
        <v>1196.7</v>
      </c>
      <c r="K18" s="118">
        <f t="shared" si="20"/>
        <v>-7.8759741336428268E-3</v>
      </c>
      <c r="L18" s="11">
        <f t="shared" si="3"/>
        <v>63.180402301884804</v>
      </c>
      <c r="M18" s="15">
        <v>338.3</v>
      </c>
      <c r="N18" s="147">
        <f t="shared" si="17"/>
        <v>2.5773195876288568E-2</v>
      </c>
      <c r="O18" s="10">
        <f t="shared" si="18"/>
        <v>70.099461251554089</v>
      </c>
      <c r="P18" s="71"/>
      <c r="Q18" s="11"/>
      <c r="R18" s="11"/>
      <c r="S18" s="74">
        <f t="shared" si="4"/>
        <v>2016</v>
      </c>
      <c r="T18" s="204">
        <f t="shared" si="5"/>
        <v>1163.7221081451062</v>
      </c>
      <c r="U18" s="204">
        <f t="shared" si="6"/>
        <v>422.80253251197809</v>
      </c>
      <c r="V18" s="204">
        <f t="shared" si="7"/>
        <v>261.3772758384668</v>
      </c>
      <c r="W18" s="204">
        <f t="shared" si="8"/>
        <v>1323.9949349760439</v>
      </c>
      <c r="X18" s="204">
        <f t="shared" si="9"/>
        <v>45.616250461960831</v>
      </c>
      <c r="Y18" s="204">
        <f t="shared" si="10"/>
        <v>1125.3630077609419</v>
      </c>
      <c r="Z18" s="204">
        <f t="shared" si="11"/>
        <v>1461.1108829568789</v>
      </c>
      <c r="AA18" s="204">
        <f t="shared" si="12"/>
        <v>25.739695897787868</v>
      </c>
      <c r="AB18" s="158"/>
    </row>
    <row r="19" spans="1:28" x14ac:dyDescent="0.25">
      <c r="A19" s="30">
        <v>2017</v>
      </c>
      <c r="B19" s="87">
        <f>Sammanställning!B20</f>
        <v>2908</v>
      </c>
      <c r="C19" s="19">
        <f>Sammanställning!B20/$B$2</f>
        <v>0.75317275317275312</v>
      </c>
      <c r="D19" s="16">
        <f>G19+J19+M19</f>
        <v>6091</v>
      </c>
      <c r="E19" s="118">
        <f t="shared" ref="E19" si="21">(D19/D18)-1</f>
        <v>-1.2483787289234716E-2</v>
      </c>
      <c r="F19" s="10">
        <f t="shared" si="16"/>
        <v>72.799636659176741</v>
      </c>
      <c r="G19" s="16">
        <v>4553</v>
      </c>
      <c r="H19" s="118">
        <f t="shared" ref="H19:H20" si="22">(G19/G18)-1</f>
        <v>-1.7267429311461302E-2</v>
      </c>
      <c r="I19" s="10">
        <f t="shared" si="2"/>
        <v>76.008747767149131</v>
      </c>
      <c r="J19" s="16">
        <f>1538-M19</f>
        <v>1151.4000000000001</v>
      </c>
      <c r="K19" s="118">
        <f t="shared" ref="K19:K20" si="23">(J19/J18)-1</f>
        <v>-3.7854098771621936E-2</v>
      </c>
      <c r="L19" s="11">
        <f t="shared" si="3"/>
        <v>60.788765112718451</v>
      </c>
      <c r="M19" s="15">
        <v>386.6</v>
      </c>
      <c r="N19" s="147">
        <f t="shared" si="17"/>
        <v>0.14277268696423295</v>
      </c>
      <c r="O19" s="10">
        <f t="shared" si="18"/>
        <v>80.107749689183606</v>
      </c>
      <c r="P19" s="71"/>
      <c r="Q19" s="11"/>
      <c r="R19" s="11"/>
      <c r="S19" s="74">
        <f t="shared" si="4"/>
        <v>2017</v>
      </c>
      <c r="T19" s="204">
        <f t="shared" si="5"/>
        <v>1143.6276189045259</v>
      </c>
      <c r="U19" s="204">
        <f t="shared" si="6"/>
        <v>415.50181966912066</v>
      </c>
      <c r="V19" s="204">
        <f t="shared" si="7"/>
        <v>256.86396220430379</v>
      </c>
      <c r="W19" s="204">
        <f t="shared" si="8"/>
        <v>1301.1329460276122</v>
      </c>
      <c r="X19" s="204">
        <f t="shared" si="9"/>
        <v>43.889488411382722</v>
      </c>
      <c r="Y19" s="204">
        <f t="shared" si="10"/>
        <v>1082.7634053112297</v>
      </c>
      <c r="Z19" s="204">
        <f t="shared" si="11"/>
        <v>1435.881254069214</v>
      </c>
      <c r="AA19" s="204">
        <f t="shared" si="12"/>
        <v>24.765342906921493</v>
      </c>
      <c r="AB19" s="158"/>
    </row>
    <row r="20" spans="1:28" x14ac:dyDescent="0.25">
      <c r="A20" s="30">
        <v>2018</v>
      </c>
      <c r="B20" s="87">
        <f>Sammanställning!B21</f>
        <v>3005</v>
      </c>
      <c r="C20" s="19">
        <f>Sammanställning!B21/$B$2</f>
        <v>0.77829577829577834</v>
      </c>
      <c r="D20" s="16">
        <f>G20+J20+M20</f>
        <v>5945</v>
      </c>
      <c r="E20" s="118">
        <f t="shared" ref="E20" si="24">(D20/D19)-1</f>
        <v>-2.3969791495649373E-2</v>
      </c>
      <c r="F20" s="10">
        <f t="shared" si="16"/>
        <v>71.054644547497247</v>
      </c>
      <c r="G20" s="16">
        <v>4507</v>
      </c>
      <c r="H20" s="118">
        <f t="shared" si="22"/>
        <v>-1.0103228640456874E-2</v>
      </c>
      <c r="I20" s="10">
        <f t="shared" si="2"/>
        <v>75.24081400978281</v>
      </c>
      <c r="J20" s="16">
        <f>1438-M20</f>
        <v>1081.8</v>
      </c>
      <c r="K20" s="118">
        <f t="shared" si="23"/>
        <v>-6.0448150078165841E-2</v>
      </c>
      <c r="L20" s="11">
        <f t="shared" si="3"/>
        <v>57.114196716118471</v>
      </c>
      <c r="M20" s="15">
        <v>356.2</v>
      </c>
      <c r="N20" s="147">
        <f t="shared" si="17"/>
        <v>-7.863424728401458E-2</v>
      </c>
      <c r="O20" s="10">
        <f t="shared" si="18"/>
        <v>73.808537090758392</v>
      </c>
      <c r="P20" s="71"/>
      <c r="Q20" s="11"/>
      <c r="R20" s="11"/>
      <c r="S20" s="74">
        <f t="shared" si="4"/>
        <v>2018</v>
      </c>
      <c r="T20" s="204">
        <f t="shared" si="5"/>
        <v>1132.0732875911922</v>
      </c>
      <c r="U20" s="204">
        <f t="shared" si="6"/>
        <v>411.3039097844777</v>
      </c>
      <c r="V20" s="204">
        <f t="shared" si="7"/>
        <v>254.26880686466004</v>
      </c>
      <c r="W20" s="204">
        <f t="shared" si="8"/>
        <v>1287.987302382264</v>
      </c>
      <c r="X20" s="204">
        <f t="shared" si="9"/>
        <v>41.236450029037535</v>
      </c>
      <c r="Y20" s="204">
        <f t="shared" si="10"/>
        <v>1017.3123604878306</v>
      </c>
      <c r="Z20" s="204">
        <f t="shared" si="11"/>
        <v>1421.3742174588069</v>
      </c>
      <c r="AA20" s="204">
        <f t="shared" si="12"/>
        <v>23.268323742146663</v>
      </c>
      <c r="AB20" s="158"/>
    </row>
    <row r="21" spans="1:28" x14ac:dyDescent="0.25">
      <c r="A21" s="30">
        <v>2019</v>
      </c>
      <c r="B21" s="87">
        <f>Sammanställning!B22</f>
        <v>2802</v>
      </c>
      <c r="C21" s="19">
        <f>Sammanställning!B22/$B$2</f>
        <v>0.72571872571872575</v>
      </c>
      <c r="D21" s="16">
        <f>G21+J21+M21+P21</f>
        <v>5960</v>
      </c>
      <c r="E21" s="118">
        <f t="shared" ref="E21:E23" si="25">(D21/D20)-1</f>
        <v>2.523128679562614E-3</v>
      </c>
      <c r="F21" s="10">
        <f t="shared" si="16"/>
        <v>71.233924558971168</v>
      </c>
      <c r="G21" s="16">
        <v>4301</v>
      </c>
      <c r="H21" s="118">
        <f t="shared" ref="H21:H23" si="26">(G21/G20)-1</f>
        <v>-4.5706678500110898E-2</v>
      </c>
      <c r="I21" s="10">
        <f t="shared" si="2"/>
        <v>71.801806313751015</v>
      </c>
      <c r="J21" s="16">
        <f>1496-M21</f>
        <v>1102.7</v>
      </c>
      <c r="K21" s="118">
        <f t="shared" ref="K21:K23" si="27">(J21/J20)-1</f>
        <v>1.9319652431133427E-2</v>
      </c>
      <c r="L21" s="11">
        <f t="shared" si="3"/>
        <v>58.217623145557262</v>
      </c>
      <c r="M21" s="15">
        <v>393.3</v>
      </c>
      <c r="N21" s="147">
        <f t="shared" si="17"/>
        <v>0.10415496911847288</v>
      </c>
      <c r="O21" s="10">
        <f t="shared" si="18"/>
        <v>81.496062992125999</v>
      </c>
      <c r="P21" s="71">
        <v>163</v>
      </c>
      <c r="Q21" s="118" t="s">
        <v>10</v>
      </c>
      <c r="R21" s="10">
        <f>(P21/7.096)</f>
        <v>22.970687711386695</v>
      </c>
      <c r="S21" s="74">
        <f t="shared" si="4"/>
        <v>2019</v>
      </c>
      <c r="T21" s="204">
        <f t="shared" si="5"/>
        <v>1080.3299777966979</v>
      </c>
      <c r="U21" s="204">
        <f t="shared" si="6"/>
        <v>392.50457421411994</v>
      </c>
      <c r="V21" s="204">
        <f t="shared" si="7"/>
        <v>242.64702425669023</v>
      </c>
      <c r="W21" s="204">
        <f t="shared" si="8"/>
        <v>1229.1176808400528</v>
      </c>
      <c r="X21" s="204">
        <f t="shared" si="9"/>
        <v>42.033123911092339</v>
      </c>
      <c r="Y21" s="204">
        <f t="shared" si="10"/>
        <v>1036.9664817063513</v>
      </c>
      <c r="Z21" s="204">
        <f t="shared" si="11"/>
        <v>1356.4079230730706</v>
      </c>
      <c r="AA21" s="204">
        <f t="shared" si="12"/>
        <v>23.717859669500026</v>
      </c>
      <c r="AB21" s="158"/>
    </row>
    <row r="22" spans="1:28" x14ac:dyDescent="0.25">
      <c r="A22" s="30">
        <v>2020</v>
      </c>
      <c r="B22" s="87">
        <f>Sammanställning!B23</f>
        <v>2650</v>
      </c>
      <c r="C22" s="19">
        <f>Sammanställning!B23/$B$2</f>
        <v>0.6863506863506863</v>
      </c>
      <c r="D22" s="16">
        <f>G22+J22+M22+P22</f>
        <v>5536</v>
      </c>
      <c r="E22" s="118">
        <f t="shared" si="25"/>
        <v>-7.1140939597315489E-2</v>
      </c>
      <c r="F22" s="10">
        <f t="shared" si="16"/>
        <v>66.166276234641671</v>
      </c>
      <c r="G22" s="16">
        <v>4003</v>
      </c>
      <c r="H22" s="118">
        <f t="shared" si="26"/>
        <v>-6.9286212508718914E-2</v>
      </c>
      <c r="I22" s="10">
        <f t="shared" si="2"/>
        <v>66.826931102986592</v>
      </c>
      <c r="J22" s="16">
        <f>1341-M22</f>
        <v>953.9</v>
      </c>
      <c r="K22" s="118">
        <f t="shared" si="27"/>
        <v>-0.13494150720957654</v>
      </c>
      <c r="L22" s="11">
        <f t="shared" si="3"/>
        <v>50.361649332136636</v>
      </c>
      <c r="M22" s="15">
        <v>387.1</v>
      </c>
      <c r="N22" s="147">
        <f t="shared" si="17"/>
        <v>-1.5764047800661096E-2</v>
      </c>
      <c r="O22" s="10">
        <f t="shared" si="18"/>
        <v>80.21135515955244</v>
      </c>
      <c r="P22" s="71">
        <v>192</v>
      </c>
      <c r="Q22" s="118">
        <f>(P22/P21)-1</f>
        <v>0.17791411042944794</v>
      </c>
      <c r="R22" s="10">
        <f>(P22/7.096)</f>
        <v>27.057497181510708</v>
      </c>
      <c r="S22" s="74">
        <f t="shared" si="4"/>
        <v>2020</v>
      </c>
      <c r="T22" s="204">
        <f t="shared" si="5"/>
        <v>1005.4780053755363</v>
      </c>
      <c r="U22" s="204">
        <f t="shared" si="6"/>
        <v>365.30941887447619</v>
      </c>
      <c r="V22" s="204">
        <f t="shared" si="7"/>
        <v>225.83493096943292</v>
      </c>
      <c r="W22" s="204">
        <f t="shared" si="8"/>
        <v>1143.9567720071452</v>
      </c>
      <c r="X22" s="204">
        <f t="shared" si="9"/>
        <v>36.361110817802647</v>
      </c>
      <c r="Y22" s="204">
        <f t="shared" si="10"/>
        <v>897.03666173908448</v>
      </c>
      <c r="Z22" s="204">
        <f t="shared" si="11"/>
        <v>1262.4275554665196</v>
      </c>
      <c r="AA22" s="204">
        <f t="shared" si="12"/>
        <v>20.517335937912463</v>
      </c>
      <c r="AB22" s="158"/>
    </row>
    <row r="23" spans="1:28" x14ac:dyDescent="0.25">
      <c r="A23" s="30">
        <v>2021</v>
      </c>
      <c r="B23" s="87">
        <f>Sammanställning!B24</f>
        <v>2780</v>
      </c>
      <c r="C23" s="19">
        <f>Sammanställning!B24/$B$2</f>
        <v>0.72002072002072004</v>
      </c>
      <c r="D23" s="16">
        <f>G23+J23+M23+P23</f>
        <v>5657.9</v>
      </c>
      <c r="E23" s="118">
        <f t="shared" si="25"/>
        <v>2.201950867052016E-2</v>
      </c>
      <c r="F23" s="10">
        <f t="shared" si="16"/>
        <v>67.6232251278864</v>
      </c>
      <c r="G23" s="16">
        <v>4194</v>
      </c>
      <c r="H23" s="118">
        <f t="shared" si="26"/>
        <v>4.7714214339245498E-2</v>
      </c>
      <c r="I23" s="10">
        <f t="shared" si="2"/>
        <v>70.015525617268494</v>
      </c>
      <c r="J23" s="16">
        <f>1250-M23</f>
        <v>915.2</v>
      </c>
      <c r="K23" s="118">
        <f t="shared" si="27"/>
        <v>-4.0570290386832908E-2</v>
      </c>
      <c r="L23" s="11">
        <f t="shared" si="3"/>
        <v>48.318462594372001</v>
      </c>
      <c r="M23" s="15">
        <v>334.8</v>
      </c>
      <c r="N23" s="147">
        <f t="shared" si="17"/>
        <v>-0.13510720743993798</v>
      </c>
      <c r="O23" s="10">
        <f t="shared" si="18"/>
        <v>69.37422295897224</v>
      </c>
      <c r="P23" s="71">
        <v>213.9</v>
      </c>
      <c r="Q23" s="118">
        <f>(P23/P22)-1</f>
        <v>0.11406249999999996</v>
      </c>
      <c r="R23" s="10">
        <f>(P23/7.096)</f>
        <v>30.143742953776776</v>
      </c>
      <c r="S23" s="74">
        <f t="shared" si="4"/>
        <v>2021</v>
      </c>
      <c r="T23" s="204">
        <f t="shared" si="5"/>
        <v>1053.4535984374218</v>
      </c>
      <c r="U23" s="204">
        <f t="shared" si="6"/>
        <v>382.73987078679818</v>
      </c>
      <c r="V23" s="204">
        <f t="shared" si="7"/>
        <v>236.61046727099716</v>
      </c>
      <c r="W23" s="204">
        <f t="shared" si="8"/>
        <v>1198.5397706215256</v>
      </c>
      <c r="X23" s="204">
        <f t="shared" si="9"/>
        <v>34.885929993136585</v>
      </c>
      <c r="Y23" s="204">
        <f t="shared" si="10"/>
        <v>860.64362388469465</v>
      </c>
      <c r="Z23" s="204">
        <f t="shared" si="11"/>
        <v>1322.6632944358191</v>
      </c>
      <c r="AA23" s="204">
        <f t="shared" si="12"/>
        <v>19.684941660947153</v>
      </c>
      <c r="AB23" s="158"/>
    </row>
    <row r="24" spans="1:28" x14ac:dyDescent="0.25">
      <c r="A24" s="30">
        <v>2022</v>
      </c>
      <c r="B24" s="87">
        <f>Sammanställning!B25</f>
        <v>2912</v>
      </c>
      <c r="C24" s="19">
        <f>Sammanställning!B25/$B$2</f>
        <v>0.75420875420875422</v>
      </c>
      <c r="D24" s="16">
        <f>G24+J24+M24+P24</f>
        <v>5537.2</v>
      </c>
      <c r="E24" s="118">
        <f t="shared" ref="E24" si="28">(D24/D23)-1</f>
        <v>-2.1333003411159623E-2</v>
      </c>
      <c r="F24" s="10">
        <f t="shared" ref="F24" si="29">D24/83.668</f>
        <v>66.180618635559583</v>
      </c>
      <c r="G24" s="16">
        <v>3962</v>
      </c>
      <c r="H24" s="118">
        <f t="shared" ref="H24" si="30">(G24/G23)-1</f>
        <v>-5.531711969480213E-2</v>
      </c>
      <c r="I24" s="10">
        <f t="shared" ref="I24" si="31">G24/59.901</f>
        <v>66.142468406203562</v>
      </c>
      <c r="J24" s="16">
        <f>1322-M24</f>
        <v>944.5</v>
      </c>
      <c r="K24" s="118">
        <f t="shared" ref="K24" si="32">(J24/J23)-1</f>
        <v>3.2014860139859991E-2</v>
      </c>
      <c r="L24" s="11">
        <f t="shared" ref="L24" si="33">J24/18.941</f>
        <v>49.865371416503883</v>
      </c>
      <c r="M24" s="15">
        <v>377.5</v>
      </c>
      <c r="N24" s="147">
        <f t="shared" ref="N24" si="34">(M24/M23)-1</f>
        <v>0.12753882915173231</v>
      </c>
      <c r="O24" s="10">
        <f t="shared" ref="O24" si="35">(M24/4.826)</f>
        <v>78.222130128470795</v>
      </c>
      <c r="P24" s="71">
        <v>253.2</v>
      </c>
      <c r="Q24" s="118">
        <f>(P24/P23)-1</f>
        <v>0.18373071528751739</v>
      </c>
      <c r="R24" s="10">
        <f>(P24/7.096)</f>
        <v>35.682074408117245</v>
      </c>
      <c r="S24" s="74">
        <f t="shared" si="4"/>
        <v>2022</v>
      </c>
      <c r="T24" s="204">
        <f t="shared" si="5"/>
        <v>995.1795796397389</v>
      </c>
      <c r="U24" s="204">
        <f t="shared" si="6"/>
        <v>361.5678035425118</v>
      </c>
      <c r="V24" s="204">
        <f t="shared" si="7"/>
        <v>223.52185773192434</v>
      </c>
      <c r="W24" s="204">
        <f t="shared" si="8"/>
        <v>1132.2400026710741</v>
      </c>
      <c r="X24" s="204">
        <f t="shared" si="9"/>
        <v>36.002798162715806</v>
      </c>
      <c r="Y24" s="204">
        <f t="shared" si="10"/>
        <v>888.19700913362544</v>
      </c>
      <c r="Z24" s="204">
        <f t="shared" si="11"/>
        <v>1249.4973706615915</v>
      </c>
      <c r="AA24" s="204">
        <f t="shared" si="12"/>
        <v>20.315152315083679</v>
      </c>
      <c r="AB24" s="158"/>
    </row>
    <row r="25" spans="1:28" x14ac:dyDescent="0.25">
      <c r="A25" s="30"/>
      <c r="B25" s="87"/>
      <c r="C25" s="19"/>
      <c r="D25" s="16"/>
      <c r="E25" s="118"/>
      <c r="F25" s="10"/>
      <c r="G25" s="16"/>
      <c r="H25" s="118"/>
      <c r="I25" s="10"/>
      <c r="J25" s="16"/>
      <c r="K25" s="118"/>
      <c r="L25" s="11"/>
      <c r="M25" s="15"/>
      <c r="N25" s="147"/>
      <c r="O25" s="10"/>
      <c r="P25" s="71"/>
      <c r="Q25" s="118"/>
      <c r="R25" s="10"/>
      <c r="S25" s="74"/>
      <c r="T25" s="158"/>
      <c r="U25" s="158"/>
      <c r="V25" s="158"/>
      <c r="W25" s="158"/>
      <c r="X25" s="158"/>
      <c r="Y25" s="158"/>
      <c r="Z25" s="158"/>
      <c r="AA25" s="158"/>
      <c r="AB25" s="158"/>
    </row>
    <row r="26" spans="1:28" ht="3" customHeight="1" x14ac:dyDescent="0.25">
      <c r="A26" s="31" t="s">
        <v>0</v>
      </c>
      <c r="B26" s="70"/>
      <c r="C26" s="18"/>
      <c r="D26" s="17"/>
      <c r="E26" s="1"/>
      <c r="F26" s="1"/>
      <c r="G26" s="151"/>
      <c r="H26" s="200"/>
      <c r="I26" s="201"/>
      <c r="J26" s="17"/>
      <c r="K26" s="1"/>
      <c r="L26" s="183"/>
      <c r="M26" s="106"/>
      <c r="N26" s="3"/>
      <c r="O26" s="3"/>
      <c r="P26" s="106"/>
      <c r="Q26" s="3"/>
      <c r="R26" s="3"/>
      <c r="S26" s="74"/>
    </row>
    <row r="27" spans="1:28" ht="15.75" thickBot="1" x14ac:dyDescent="0.3">
      <c r="A27" s="32" t="s">
        <v>17</v>
      </c>
      <c r="B27" s="26">
        <f>AVERAGE(B9:B18)</f>
        <v>3041</v>
      </c>
      <c r="C27" s="34">
        <f>AVERAGE(C9:C18)</f>
        <v>0.78761978761978757</v>
      </c>
      <c r="D27" s="26">
        <f>AVERAGE(D5:D18)</f>
        <v>7218.8642857142859</v>
      </c>
      <c r="E27" s="227"/>
      <c r="F27" s="24">
        <f>AVERAGE(F5:F18)</f>
        <v>90.60067246825426</v>
      </c>
      <c r="G27" s="26">
        <f>AVERAGE(G5:G24)</f>
        <v>5295.15</v>
      </c>
      <c r="H27" s="227"/>
      <c r="I27" s="24">
        <f>AVERAGE(I5:I18)</f>
        <v>95.852203755243764</v>
      </c>
      <c r="J27" s="26">
        <f>AVERAGE(J5:J18)</f>
        <v>1404.2357142857145</v>
      </c>
      <c r="K27" s="227"/>
      <c r="L27" s="37">
        <f>AVERAGE(L5:L18)</f>
        <v>74.137358866253862</v>
      </c>
      <c r="M27" s="105">
        <f>AVERAGE(M5:M24)</f>
        <v>333.52000000000004</v>
      </c>
      <c r="N27" s="231"/>
      <c r="O27" s="108">
        <f>AVERAGE(O5:O18)</f>
        <v>64.461843585341313</v>
      </c>
      <c r="P27" s="108">
        <f>AVERAGE(P21:P22)</f>
        <v>177.5</v>
      </c>
      <c r="Q27" s="233"/>
      <c r="R27" s="108">
        <f>AVERAGE(R21:R22)</f>
        <v>25.0140924464487</v>
      </c>
      <c r="S27" s="74"/>
    </row>
    <row r="28" spans="1:28" x14ac:dyDescent="0.25">
      <c r="A28" s="20"/>
      <c r="D28" s="2"/>
      <c r="E28" s="2"/>
      <c r="F28" s="2"/>
      <c r="G28" s="2"/>
      <c r="H28" s="2"/>
      <c r="I28" s="2"/>
      <c r="J28" s="2"/>
      <c r="K28" s="2"/>
    </row>
    <row r="29" spans="1:28" x14ac:dyDescent="0.25">
      <c r="A29"/>
      <c r="B29" s="258"/>
      <c r="C29" s="258"/>
      <c r="G29" s="258"/>
      <c r="H29" s="258"/>
      <c r="I29" s="67"/>
      <c r="J29" s="258"/>
      <c r="K29" s="258"/>
      <c r="L29" s="67"/>
      <c r="M29" s="67"/>
    </row>
    <row r="30" spans="1:28" x14ac:dyDescent="0.25">
      <c r="A30" s="20"/>
      <c r="B30" s="33"/>
      <c r="D30" s="4"/>
    </row>
    <row r="31" spans="1:28" x14ac:dyDescent="0.25">
      <c r="D31" s="41"/>
    </row>
    <row r="32" spans="1:28" x14ac:dyDescent="0.25">
      <c r="D32" s="41"/>
    </row>
    <row r="33" spans="3:4" x14ac:dyDescent="0.25">
      <c r="D33" s="41"/>
    </row>
    <row r="34" spans="3:4" x14ac:dyDescent="0.25">
      <c r="D34" s="41"/>
    </row>
    <row r="35" spans="3:4" x14ac:dyDescent="0.25">
      <c r="D35" s="41"/>
    </row>
    <row r="36" spans="3:4" x14ac:dyDescent="0.25">
      <c r="D36" s="41"/>
    </row>
    <row r="37" spans="3:4" x14ac:dyDescent="0.25">
      <c r="D37" s="41"/>
    </row>
    <row r="38" spans="3:4" x14ac:dyDescent="0.25">
      <c r="D38" s="41"/>
    </row>
    <row r="39" spans="3:4" x14ac:dyDescent="0.25">
      <c r="C39" s="42"/>
      <c r="D39" s="41"/>
    </row>
  </sheetData>
  <mergeCells count="13">
    <mergeCell ref="A1:A2"/>
    <mergeCell ref="B1:C1"/>
    <mergeCell ref="B2:C2"/>
    <mergeCell ref="D3:E3"/>
    <mergeCell ref="G3:H3"/>
    <mergeCell ref="D1:S2"/>
    <mergeCell ref="B29:C29"/>
    <mergeCell ref="G29:H29"/>
    <mergeCell ref="J29:K29"/>
    <mergeCell ref="T1:AA3"/>
    <mergeCell ref="J3:K3"/>
    <mergeCell ref="M3:N3"/>
    <mergeCell ref="P3:Q3"/>
  </mergeCells>
  <conditionalFormatting sqref="E5:E25 H5:H26 K5:K25 N5:N25">
    <cfRule type="cellIs" dxfId="43" priority="34" operator="greaterThan">
      <formula>0</formula>
    </cfRule>
  </conditionalFormatting>
  <conditionalFormatting sqref="E5:E25 H5:H26 K5:K25 N5:N25">
    <cfRule type="cellIs" dxfId="42" priority="33" operator="lessThan">
      <formula>0</formula>
    </cfRule>
  </conditionalFormatting>
  <conditionalFormatting sqref="Q21:Q25">
    <cfRule type="cellIs" dxfId="41" priority="2" operator="greaterThan">
      <formula>0</formula>
    </cfRule>
  </conditionalFormatting>
  <conditionalFormatting sqref="Q21:Q25">
    <cfRule type="cellIs" dxfId="40" priority="1" operator="lessThan">
      <formula>0</formula>
    </cfRule>
  </conditionalFormatting>
  <pageMargins left="0.25" right="0.25" top="0.75" bottom="0.75" header="0.3" footer="0.3"/>
  <pageSetup paperSize="8" scale="69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86"/>
  <sheetViews>
    <sheetView topLeftCell="L8" workbookViewId="0">
      <selection activeCell="AN35" sqref="AN35"/>
    </sheetView>
  </sheetViews>
  <sheetFormatPr defaultRowHeight="15" x14ac:dyDescent="0.25"/>
  <cols>
    <col min="1" max="1" width="6.85546875" style="14" customWidth="1"/>
    <col min="2" max="2" width="10" customWidth="1"/>
    <col min="3" max="3" width="10.42578125" customWidth="1"/>
    <col min="4" max="4" width="9.85546875" customWidth="1"/>
    <col min="5" max="5" width="7.28515625" bestFit="1" customWidth="1"/>
    <col min="6" max="6" width="8.5703125" customWidth="1"/>
    <col min="7" max="7" width="9.42578125" customWidth="1"/>
    <col min="8" max="8" width="11.85546875" bestFit="1" customWidth="1"/>
    <col min="9" max="9" width="7" customWidth="1"/>
    <col min="10" max="10" width="8.28515625" bestFit="1" customWidth="1"/>
    <col min="11" max="11" width="9.5703125" customWidth="1"/>
    <col min="12" max="12" width="8.42578125" customWidth="1"/>
    <col min="13" max="13" width="8.5703125" customWidth="1"/>
    <col min="14" max="14" width="9.42578125" customWidth="1"/>
    <col min="15" max="15" width="9.5703125" customWidth="1"/>
    <col min="16" max="16" width="9.42578125" customWidth="1"/>
    <col min="17" max="17" width="6.85546875" bestFit="1" customWidth="1"/>
    <col min="18" max="18" width="8.7109375" customWidth="1"/>
    <col min="19" max="19" width="9.42578125" customWidth="1"/>
    <col min="20" max="20" width="9.85546875" customWidth="1"/>
    <col min="21" max="21" width="9.42578125" customWidth="1"/>
    <col min="22" max="22" width="6.85546875" bestFit="1" customWidth="1"/>
    <col min="23" max="23" width="8.5703125" customWidth="1"/>
    <col min="24" max="24" width="9.42578125" customWidth="1"/>
    <col min="25" max="25" width="9.85546875" customWidth="1"/>
    <col min="26" max="26" width="10" customWidth="1"/>
    <col min="27" max="27" width="5.5703125" bestFit="1" customWidth="1"/>
    <col min="28" max="28" width="8.85546875" bestFit="1" customWidth="1"/>
    <col min="29" max="29" width="10.28515625" customWidth="1"/>
    <col min="30" max="30" width="10.5703125" customWidth="1"/>
    <col min="31" max="31" width="10.7109375" hidden="1" customWidth="1"/>
    <col min="32" max="32" width="9.7109375" bestFit="1" customWidth="1"/>
    <col min="33" max="33" width="6.42578125" customWidth="1"/>
    <col min="34" max="34" width="8.85546875" bestFit="1" customWidth="1"/>
    <col min="35" max="36" width="9.7109375" bestFit="1" customWidth="1"/>
    <col min="37" max="48" width="10.7109375" customWidth="1"/>
  </cols>
  <sheetData>
    <row r="1" spans="1:44" ht="43.5" customHeight="1" x14ac:dyDescent="0.25">
      <c r="A1" s="247"/>
      <c r="B1" s="270" t="s">
        <v>1</v>
      </c>
      <c r="C1" s="282"/>
      <c r="D1" s="284" t="s">
        <v>20</v>
      </c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L1" s="287" t="s">
        <v>96</v>
      </c>
      <c r="AM1" s="287"/>
      <c r="AN1" s="287"/>
      <c r="AO1" s="287"/>
      <c r="AP1" s="287"/>
      <c r="AQ1" s="287"/>
      <c r="AR1" s="287"/>
    </row>
    <row r="2" spans="1:44" ht="15" customHeight="1" thickBot="1" x14ac:dyDescent="0.3">
      <c r="A2" s="248"/>
      <c r="B2" s="268">
        <v>3861</v>
      </c>
      <c r="C2" s="283"/>
      <c r="D2" s="275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L2" s="287"/>
      <c r="AM2" s="287"/>
      <c r="AN2" s="287"/>
      <c r="AO2" s="287"/>
      <c r="AP2" s="287"/>
      <c r="AQ2" s="287"/>
      <c r="AR2" s="287"/>
    </row>
    <row r="3" spans="1:44" s="46" customFormat="1" ht="15.75" customHeight="1" x14ac:dyDescent="0.2">
      <c r="A3" s="45"/>
      <c r="D3" s="288" t="s">
        <v>7</v>
      </c>
      <c r="E3" s="289"/>
      <c r="F3" s="289"/>
      <c r="G3" s="238"/>
      <c r="H3" s="92"/>
      <c r="I3" s="281" t="s">
        <v>23</v>
      </c>
      <c r="J3" s="281"/>
      <c r="K3" s="280" t="s">
        <v>11</v>
      </c>
      <c r="L3" s="281"/>
      <c r="M3" s="281"/>
      <c r="N3" s="281" t="s">
        <v>12</v>
      </c>
      <c r="O3" s="286"/>
      <c r="P3" s="281" t="s">
        <v>13</v>
      </c>
      <c r="Q3" s="281"/>
      <c r="R3" s="281"/>
      <c r="S3" s="281" t="s">
        <v>14</v>
      </c>
      <c r="T3" s="281"/>
      <c r="U3" s="280" t="s">
        <v>8</v>
      </c>
      <c r="V3" s="281"/>
      <c r="W3" s="281"/>
      <c r="X3" s="281" t="s">
        <v>9</v>
      </c>
      <c r="Y3" s="281"/>
      <c r="Z3" s="280" t="s">
        <v>50</v>
      </c>
      <c r="AA3" s="281"/>
      <c r="AB3" s="281"/>
      <c r="AC3" s="281" t="s">
        <v>51</v>
      </c>
      <c r="AD3" s="286"/>
      <c r="AF3" s="280" t="s">
        <v>102</v>
      </c>
      <c r="AG3" s="281"/>
      <c r="AH3" s="281"/>
      <c r="AI3" s="281" t="str">
        <f>EL!$R$3</f>
        <v>7096 m² BRA</v>
      </c>
      <c r="AJ3" s="286"/>
      <c r="AL3" s="287"/>
      <c r="AM3" s="287"/>
      <c r="AN3" s="287"/>
      <c r="AO3" s="287"/>
      <c r="AP3" s="287"/>
      <c r="AQ3" s="287"/>
      <c r="AR3" s="287"/>
    </row>
    <row r="4" spans="1:44" s="46" customFormat="1" ht="54" customHeight="1" x14ac:dyDescent="0.2">
      <c r="A4" s="47" t="s">
        <v>16</v>
      </c>
      <c r="B4" s="48" t="s">
        <v>45</v>
      </c>
      <c r="C4" s="49" t="s">
        <v>72</v>
      </c>
      <c r="D4" s="50" t="s">
        <v>4</v>
      </c>
      <c r="E4" s="48" t="s">
        <v>47</v>
      </c>
      <c r="F4" s="48" t="s">
        <v>49</v>
      </c>
      <c r="G4" s="48" t="s">
        <v>126</v>
      </c>
      <c r="H4" s="48" t="s">
        <v>75</v>
      </c>
      <c r="I4" s="48" t="s">
        <v>24</v>
      </c>
      <c r="J4" s="48" t="s">
        <v>76</v>
      </c>
      <c r="K4" s="50" t="s">
        <v>4</v>
      </c>
      <c r="L4" s="48" t="s">
        <v>47</v>
      </c>
      <c r="M4" s="48" t="s">
        <v>49</v>
      </c>
      <c r="N4" s="48" t="s">
        <v>75</v>
      </c>
      <c r="O4" s="49" t="s">
        <v>74</v>
      </c>
      <c r="P4" s="48" t="s">
        <v>4</v>
      </c>
      <c r="Q4" s="48" t="s">
        <v>47</v>
      </c>
      <c r="R4" s="48" t="s">
        <v>49</v>
      </c>
      <c r="S4" s="48" t="s">
        <v>75</v>
      </c>
      <c r="T4" s="48" t="s">
        <v>74</v>
      </c>
      <c r="U4" s="50" t="s">
        <v>4</v>
      </c>
      <c r="V4" s="48" t="s">
        <v>47</v>
      </c>
      <c r="W4" s="48" t="s">
        <v>49</v>
      </c>
      <c r="X4" s="48" t="s">
        <v>75</v>
      </c>
      <c r="Y4" s="48" t="s">
        <v>74</v>
      </c>
      <c r="Z4" s="50" t="s">
        <v>4</v>
      </c>
      <c r="AA4" s="48" t="s">
        <v>47</v>
      </c>
      <c r="AB4" s="48" t="s">
        <v>49</v>
      </c>
      <c r="AC4" s="48" t="s">
        <v>75</v>
      </c>
      <c r="AD4" s="49" t="s">
        <v>74</v>
      </c>
      <c r="AF4" s="50" t="s">
        <v>4</v>
      </c>
      <c r="AG4" s="48" t="s">
        <v>47</v>
      </c>
      <c r="AH4" s="48" t="s">
        <v>49</v>
      </c>
      <c r="AI4" s="48" t="s">
        <v>75</v>
      </c>
      <c r="AJ4" s="49" t="s">
        <v>74</v>
      </c>
      <c r="AK4" s="159" t="s">
        <v>16</v>
      </c>
      <c r="AL4" s="186" t="s">
        <v>88</v>
      </c>
      <c r="AM4" s="186" t="s">
        <v>89</v>
      </c>
      <c r="AN4" s="186" t="s">
        <v>90</v>
      </c>
      <c r="AO4" s="186" t="s">
        <v>91</v>
      </c>
      <c r="AP4" s="186" t="s">
        <v>92</v>
      </c>
      <c r="AQ4" s="186" t="s">
        <v>93</v>
      </c>
      <c r="AR4" s="186" t="s">
        <v>94</v>
      </c>
    </row>
    <row r="5" spans="1:44" x14ac:dyDescent="0.25">
      <c r="A5" s="30">
        <v>2003</v>
      </c>
      <c r="B5" s="14" t="s">
        <v>10</v>
      </c>
      <c r="C5" s="43" t="s">
        <v>10</v>
      </c>
      <c r="D5" s="16">
        <f>K5+P5+U5</f>
        <v>7887.0999999999995</v>
      </c>
      <c r="E5" s="5" t="s">
        <v>10</v>
      </c>
      <c r="F5" s="14" t="s">
        <v>10</v>
      </c>
      <c r="G5" s="14" t="s">
        <v>10</v>
      </c>
      <c r="H5" s="11">
        <f>(D5/(Sammanställning!V6/1000))</f>
        <v>103.29535102162482</v>
      </c>
      <c r="I5" s="14" t="s">
        <v>10</v>
      </c>
      <c r="J5" s="14" t="s">
        <v>10</v>
      </c>
      <c r="K5" s="16">
        <v>2567</v>
      </c>
      <c r="L5" s="5" t="s">
        <v>10</v>
      </c>
      <c r="M5" s="14" t="s">
        <v>10</v>
      </c>
      <c r="N5" s="11">
        <f>K5/41.01</f>
        <v>62.594489148988053</v>
      </c>
      <c r="O5" s="22" t="s">
        <v>10</v>
      </c>
      <c r="P5" s="5">
        <v>1367.1999999999998</v>
      </c>
      <c r="Q5" s="21" t="s">
        <v>10</v>
      </c>
      <c r="R5" s="14" t="s">
        <v>10</v>
      </c>
      <c r="S5" s="11">
        <f>P5/18.891</f>
        <v>72.373087713726107</v>
      </c>
      <c r="T5" s="11" t="s">
        <v>10</v>
      </c>
      <c r="U5" s="16">
        <v>3952.8999999999996</v>
      </c>
      <c r="V5" s="21" t="s">
        <v>10</v>
      </c>
      <c r="W5" s="14" t="s">
        <v>10</v>
      </c>
      <c r="X5" s="11">
        <f>U5/18.941</f>
        <v>208.69542262816111</v>
      </c>
      <c r="Y5" s="11" t="s">
        <v>10</v>
      </c>
      <c r="Z5" s="114" t="s">
        <v>10</v>
      </c>
      <c r="AA5" s="21" t="s">
        <v>10</v>
      </c>
      <c r="AB5" s="14" t="s">
        <v>10</v>
      </c>
      <c r="AC5" s="21" t="s">
        <v>10</v>
      </c>
      <c r="AD5" s="109"/>
      <c r="AF5" s="74"/>
      <c r="AJ5" s="63"/>
      <c r="AK5">
        <v>2003</v>
      </c>
      <c r="AL5" s="204">
        <f t="shared" ref="AL5:AL23" si="0">D5*(15046/59901)</f>
        <v>1981.0905761172601</v>
      </c>
      <c r="AM5" s="204">
        <f t="shared" ref="AM5:AM23" si="1">D5*(5466.5/59901)</f>
        <v>719.7681532862556</v>
      </c>
      <c r="AN5" s="204">
        <f t="shared" ref="AN5:AN23" si="2">D5*(3379.4/59901)</f>
        <v>444.96194955009099</v>
      </c>
      <c r="AO5" s="204">
        <f t="shared" ref="AO5:AO23" si="3">D5*(17118.2/59901)</f>
        <v>2253.9349129396837</v>
      </c>
      <c r="AP5" s="204">
        <f t="shared" ref="AP5:AP17" si="4">U5*(722/18941)</f>
        <v>150.67809513753232</v>
      </c>
      <c r="AQ5" s="204">
        <f t="shared" ref="AQ5:AQ17" si="5">U5*(17811.9/18941)</f>
        <v>3717.2619983105428</v>
      </c>
      <c r="AR5" s="204">
        <f t="shared" ref="AR5:AR17" si="6">U5*(407.4/18941)</f>
        <v>85.022515178712837</v>
      </c>
    </row>
    <row r="6" spans="1:44" x14ac:dyDescent="0.25">
      <c r="A6" s="30">
        <v>2004</v>
      </c>
      <c r="B6" s="14" t="s">
        <v>10</v>
      </c>
      <c r="C6" s="43" t="s">
        <v>10</v>
      </c>
      <c r="D6" s="16">
        <f t="shared" ref="D6:D10" si="7">K6+P6+U6</f>
        <v>7924</v>
      </c>
      <c r="E6" s="76">
        <f>(D6/D5)-1</f>
        <v>4.6785256938546294E-3</v>
      </c>
      <c r="F6" s="14" t="s">
        <v>10</v>
      </c>
      <c r="G6" s="14" t="s">
        <v>10</v>
      </c>
      <c r="H6" s="11">
        <f>(D6/(Sammanställning!V7/1000))</f>
        <v>100.50429718019745</v>
      </c>
      <c r="I6" s="14" t="s">
        <v>10</v>
      </c>
      <c r="J6" s="14" t="s">
        <v>10</v>
      </c>
      <c r="K6" s="16">
        <v>4026</v>
      </c>
      <c r="L6" s="76">
        <f>(K6/K5)-1</f>
        <v>0.56836774444877292</v>
      </c>
      <c r="M6" s="14" t="s">
        <v>10</v>
      </c>
      <c r="N6" s="11">
        <f t="shared" ref="N6:N19" si="8">K6/41.01</f>
        <v>98.171177761521591</v>
      </c>
      <c r="O6" s="22" t="s">
        <v>10</v>
      </c>
      <c r="P6" s="5">
        <v>1268</v>
      </c>
      <c r="Q6" s="76">
        <f>(P6/P5)-1</f>
        <v>-7.2557050906962961E-2</v>
      </c>
      <c r="R6" s="14" t="s">
        <v>10</v>
      </c>
      <c r="S6" s="11">
        <f t="shared" ref="S6:S19" si="9">P6/18.891</f>
        <v>67.121909904187191</v>
      </c>
      <c r="T6" s="11" t="s">
        <v>10</v>
      </c>
      <c r="U6" s="16">
        <v>2630</v>
      </c>
      <c r="V6" s="76">
        <f>(U6/U5)-1</f>
        <v>-0.33466568848187406</v>
      </c>
      <c r="W6" s="14" t="s">
        <v>10</v>
      </c>
      <c r="X6" s="11">
        <f t="shared" ref="X6:X19" si="10">U6/18.941</f>
        <v>138.85222533129192</v>
      </c>
      <c r="Y6" s="11" t="s">
        <v>10</v>
      </c>
      <c r="Z6" s="114" t="s">
        <v>10</v>
      </c>
      <c r="AA6" s="21" t="s">
        <v>10</v>
      </c>
      <c r="AB6" s="21" t="s">
        <v>10</v>
      </c>
      <c r="AC6" s="21" t="s">
        <v>10</v>
      </c>
      <c r="AD6" s="109"/>
      <c r="AF6" s="74"/>
      <c r="AJ6" s="63"/>
      <c r="AK6">
        <v>2004</v>
      </c>
      <c r="AL6" s="204">
        <f t="shared" si="0"/>
        <v>1990.3591592794778</v>
      </c>
      <c r="AM6" s="204">
        <f t="shared" si="1"/>
        <v>723.13560708502359</v>
      </c>
      <c r="AN6" s="204">
        <f t="shared" si="2"/>
        <v>447.04371546384868</v>
      </c>
      <c r="AO6" s="204">
        <f t="shared" si="3"/>
        <v>2264.4800053421482</v>
      </c>
      <c r="AP6" s="204">
        <f t="shared" si="4"/>
        <v>100.25130668919276</v>
      </c>
      <c r="AQ6" s="204">
        <f t="shared" si="5"/>
        <v>2473.2219523784383</v>
      </c>
      <c r="AR6" s="204">
        <f t="shared" si="6"/>
        <v>56.568396599968317</v>
      </c>
    </row>
    <row r="7" spans="1:44" x14ac:dyDescent="0.25">
      <c r="A7" s="30">
        <v>2005</v>
      </c>
      <c r="B7" s="14" t="s">
        <v>10</v>
      </c>
      <c r="C7" s="43" t="s">
        <v>10</v>
      </c>
      <c r="D7" s="16">
        <f t="shared" si="7"/>
        <v>8242</v>
      </c>
      <c r="E7" s="76">
        <f t="shared" ref="E7:E17" si="11">(D7/D6)-1</f>
        <v>4.0131246845027668E-2</v>
      </c>
      <c r="F7" s="14" t="s">
        <v>10</v>
      </c>
      <c r="G7" s="14" t="s">
        <v>10</v>
      </c>
      <c r="H7" s="11">
        <f>(D7/(Sammanställning!V8/1000))</f>
        <v>104.537659939322</v>
      </c>
      <c r="I7" s="14" t="s">
        <v>10</v>
      </c>
      <c r="J7" s="14" t="s">
        <v>10</v>
      </c>
      <c r="K7" s="16">
        <v>3963</v>
      </c>
      <c r="L7" s="76">
        <f t="shared" ref="L7:L19" si="12">(K7/K6)-1</f>
        <v>-1.5648286140089396E-2</v>
      </c>
      <c r="M7" s="14" t="s">
        <v>10</v>
      </c>
      <c r="N7" s="11">
        <f t="shared" si="8"/>
        <v>96.634967081199719</v>
      </c>
      <c r="O7" s="22" t="s">
        <v>10</v>
      </c>
      <c r="P7" s="5">
        <v>1415</v>
      </c>
      <c r="Q7" s="76">
        <f t="shared" ref="Q7:Q19" si="13">(P7/P6)-1</f>
        <v>0.11593059936908512</v>
      </c>
      <c r="R7" s="14" t="s">
        <v>10</v>
      </c>
      <c r="S7" s="11">
        <f t="shared" si="9"/>
        <v>74.903393150177337</v>
      </c>
      <c r="T7" s="11" t="s">
        <v>10</v>
      </c>
      <c r="U7" s="16">
        <v>2864</v>
      </c>
      <c r="V7" s="76">
        <f t="shared" ref="V7:V19" si="14">(U7/U6)-1</f>
        <v>8.8973384030418323E-2</v>
      </c>
      <c r="W7" s="14" t="s">
        <v>10</v>
      </c>
      <c r="X7" s="11">
        <f t="shared" si="10"/>
        <v>151.20637769917113</v>
      </c>
      <c r="Y7" s="11" t="s">
        <v>10</v>
      </c>
      <c r="Z7" s="114" t="s">
        <v>10</v>
      </c>
      <c r="AA7" s="21" t="s">
        <v>10</v>
      </c>
      <c r="AB7" s="21" t="s">
        <v>10</v>
      </c>
      <c r="AC7" s="21" t="s">
        <v>10</v>
      </c>
      <c r="AD7" s="109"/>
      <c r="AF7" s="74"/>
      <c r="AJ7" s="63"/>
      <c r="AK7">
        <v>2005</v>
      </c>
      <c r="AL7" s="204">
        <f t="shared" si="0"/>
        <v>2070.2347540107844</v>
      </c>
      <c r="AM7" s="204">
        <f t="shared" si="1"/>
        <v>752.15594063538163</v>
      </c>
      <c r="AN7" s="204">
        <f t="shared" si="2"/>
        <v>464.98413715964676</v>
      </c>
      <c r="AO7" s="204">
        <f t="shared" si="3"/>
        <v>2355.3564114121637</v>
      </c>
      <c r="AP7" s="204">
        <f t="shared" si="4"/>
        <v>109.17100469880154</v>
      </c>
      <c r="AQ7" s="204">
        <f t="shared" si="5"/>
        <v>2693.2728789398661</v>
      </c>
      <c r="AR7" s="204">
        <f t="shared" si="6"/>
        <v>61.601478274642304</v>
      </c>
    </row>
    <row r="8" spans="1:44" x14ac:dyDescent="0.25">
      <c r="A8" s="30">
        <v>2006</v>
      </c>
      <c r="B8" s="14" t="s">
        <v>10</v>
      </c>
      <c r="C8" s="43" t="s">
        <v>10</v>
      </c>
      <c r="D8" s="16">
        <f t="shared" si="7"/>
        <v>8940</v>
      </c>
      <c r="E8" s="76">
        <f t="shared" si="11"/>
        <v>8.4688182479980556E-2</v>
      </c>
      <c r="F8" s="14" t="s">
        <v>10</v>
      </c>
      <c r="G8" s="14" t="s">
        <v>10</v>
      </c>
      <c r="H8" s="11">
        <f>(D8/(Sammanställning!V9/1000))</f>
        <v>113.39076436029345</v>
      </c>
      <c r="I8" s="14" t="s">
        <v>10</v>
      </c>
      <c r="J8" s="14" t="s">
        <v>10</v>
      </c>
      <c r="K8" s="16">
        <v>5377</v>
      </c>
      <c r="L8" s="76">
        <f t="shared" si="12"/>
        <v>0.35680040373454447</v>
      </c>
      <c r="M8" s="14" t="s">
        <v>10</v>
      </c>
      <c r="N8" s="11">
        <f t="shared" si="8"/>
        <v>131.11436235064619</v>
      </c>
      <c r="O8" s="22" t="s">
        <v>10</v>
      </c>
      <c r="P8" s="5">
        <v>1444</v>
      </c>
      <c r="Q8" s="76">
        <f t="shared" si="13"/>
        <v>2.0494699646643078E-2</v>
      </c>
      <c r="R8" s="14" t="s">
        <v>10</v>
      </c>
      <c r="S8" s="11">
        <f t="shared" si="9"/>
        <v>76.438515695304645</v>
      </c>
      <c r="T8" s="11" t="s">
        <v>10</v>
      </c>
      <c r="U8" s="16">
        <v>2119</v>
      </c>
      <c r="V8" s="76">
        <f t="shared" si="14"/>
        <v>-0.26012569832402233</v>
      </c>
      <c r="W8" s="14" t="s">
        <v>10</v>
      </c>
      <c r="X8" s="11">
        <f t="shared" si="10"/>
        <v>111.87371310912835</v>
      </c>
      <c r="Y8" s="11" t="s">
        <v>10</v>
      </c>
      <c r="Z8" s="114" t="s">
        <v>10</v>
      </c>
      <c r="AA8" s="21" t="s">
        <v>10</v>
      </c>
      <c r="AB8" s="21" t="s">
        <v>10</v>
      </c>
      <c r="AC8" s="21" t="s">
        <v>10</v>
      </c>
      <c r="AD8" s="109"/>
      <c r="AF8" s="74"/>
      <c r="AJ8" s="63"/>
      <c r="AK8">
        <v>2006</v>
      </c>
      <c r="AL8" s="204">
        <f t="shared" si="0"/>
        <v>2245.5591726348475</v>
      </c>
      <c r="AM8" s="204">
        <f t="shared" si="1"/>
        <v>815.85466018931231</v>
      </c>
      <c r="AN8" s="204">
        <f t="shared" si="2"/>
        <v>504.36279861771925</v>
      </c>
      <c r="AO8" s="204">
        <f t="shared" si="3"/>
        <v>2554.8272649872292</v>
      </c>
      <c r="AP8" s="204">
        <f t="shared" si="4"/>
        <v>80.77282086479066</v>
      </c>
      <c r="AQ8" s="204">
        <f t="shared" si="5"/>
        <v>1992.6833905284832</v>
      </c>
      <c r="AR8" s="204">
        <f t="shared" si="6"/>
        <v>45.577350720658885</v>
      </c>
    </row>
    <row r="9" spans="1:44" x14ac:dyDescent="0.25">
      <c r="A9" s="30">
        <v>2007</v>
      </c>
      <c r="B9" s="5">
        <v>2624</v>
      </c>
      <c r="C9" s="19">
        <f t="shared" ref="C9:C24" si="15">B9/$B$27</f>
        <v>0.88340253619122433</v>
      </c>
      <c r="D9" s="16">
        <f t="shared" si="7"/>
        <v>7008</v>
      </c>
      <c r="E9" s="76">
        <f t="shared" si="11"/>
        <v>-0.21610738255033557</v>
      </c>
      <c r="F9" s="5">
        <f>((D9-(D9*0.15))/C9)+(D9*0.15)</f>
        <v>7794.2189024390245</v>
      </c>
      <c r="G9" s="5">
        <f t="shared" ref="G9:G24" si="16">((D9-(D9*0.15))/$C$27)+(D9*0.15)</f>
        <v>7008</v>
      </c>
      <c r="H9" s="11">
        <f>(D9/(Sammanställning!V10/1000))</f>
        <v>88.886183069008553</v>
      </c>
      <c r="I9" s="9" t="s">
        <v>10</v>
      </c>
      <c r="J9" s="9" t="s">
        <v>10</v>
      </c>
      <c r="K9" s="16">
        <v>3767</v>
      </c>
      <c r="L9" s="76">
        <f t="shared" si="12"/>
        <v>-0.29942347033661898</v>
      </c>
      <c r="M9" s="5">
        <f t="shared" ref="M9:M24" si="17">((K9-(K9*0.15))/C9)+(K9*0.15)</f>
        <v>4189.6150978150408</v>
      </c>
      <c r="N9" s="11">
        <f t="shared" si="8"/>
        <v>91.855644964642778</v>
      </c>
      <c r="O9" s="22">
        <f>M9/41.01</f>
        <v>102.1608168206545</v>
      </c>
      <c r="P9" s="5">
        <v>1333</v>
      </c>
      <c r="Q9" s="76">
        <f t="shared" si="13"/>
        <v>-7.6869806094182813E-2</v>
      </c>
      <c r="R9" s="5">
        <f t="shared" ref="R9:R24" si="18">((P9-(P9*0.115))/C9)+(P9*0.15)</f>
        <v>1535.3604744664633</v>
      </c>
      <c r="S9" s="11">
        <f t="shared" si="9"/>
        <v>70.562701815679432</v>
      </c>
      <c r="T9" s="11">
        <f>R9/18.891</f>
        <v>81.274706181063124</v>
      </c>
      <c r="U9" s="16">
        <v>1908</v>
      </c>
      <c r="V9" s="76">
        <f t="shared" si="14"/>
        <v>-9.9575271354412465E-2</v>
      </c>
      <c r="W9" s="5">
        <f t="shared" ref="W9:W23" si="19">((U9-(U9*0.15))/C9)+(U9*0.15)</f>
        <v>2122.0561737804878</v>
      </c>
      <c r="X9" s="11">
        <f t="shared" si="10"/>
        <v>100.7338577688612</v>
      </c>
      <c r="Y9" s="11">
        <f>W9/18.941</f>
        <v>112.03506540206367</v>
      </c>
      <c r="Z9" s="114" t="s">
        <v>10</v>
      </c>
      <c r="AA9" s="21" t="s">
        <v>10</v>
      </c>
      <c r="AB9" s="21" t="s">
        <v>10</v>
      </c>
      <c r="AC9" s="21" t="s">
        <v>10</v>
      </c>
      <c r="AD9" s="109">
        <v>0</v>
      </c>
      <c r="AF9" s="74"/>
      <c r="AJ9" s="43">
        <v>0</v>
      </c>
      <c r="AK9">
        <v>2007</v>
      </c>
      <c r="AL9" s="204">
        <f t="shared" si="0"/>
        <v>1760.2772574748335</v>
      </c>
      <c r="AM9" s="204">
        <f t="shared" si="1"/>
        <v>639.54244503430652</v>
      </c>
      <c r="AN9" s="204">
        <f t="shared" si="2"/>
        <v>395.36627435268196</v>
      </c>
      <c r="AO9" s="204">
        <f t="shared" si="3"/>
        <v>2002.7102318826064</v>
      </c>
      <c r="AP9" s="204">
        <f t="shared" si="4"/>
        <v>72.729845309117792</v>
      </c>
      <c r="AQ9" s="204">
        <f t="shared" si="5"/>
        <v>1794.2614011931789</v>
      </c>
      <c r="AR9" s="204">
        <f t="shared" si="6"/>
        <v>41.038973655034049</v>
      </c>
    </row>
    <row r="10" spans="1:44" x14ac:dyDescent="0.25">
      <c r="A10" s="30">
        <v>2008</v>
      </c>
      <c r="B10" s="5">
        <v>2736</v>
      </c>
      <c r="C10" s="19">
        <f t="shared" si="15"/>
        <v>0.92110874200426429</v>
      </c>
      <c r="D10" s="16">
        <f t="shared" si="7"/>
        <v>6372</v>
      </c>
      <c r="E10" s="76">
        <f t="shared" si="11"/>
        <v>-9.0753424657534221E-2</v>
      </c>
      <c r="F10" s="5">
        <f t="shared" ref="F10:F24" si="20">((D10-(D10*0.15))/C10)+(D10*0.15)</f>
        <v>6835.8875000000007</v>
      </c>
      <c r="G10" s="5">
        <f t="shared" si="16"/>
        <v>6372</v>
      </c>
      <c r="H10" s="11">
        <f>(D10/(Sammanställning!V11/1000))</f>
        <v>80.819457550759495</v>
      </c>
      <c r="I10" s="9" t="s">
        <v>10</v>
      </c>
      <c r="J10" s="9" t="s">
        <v>10</v>
      </c>
      <c r="K10" s="16">
        <v>3234</v>
      </c>
      <c r="L10" s="76">
        <f t="shared" si="12"/>
        <v>-0.14149190337138307</v>
      </c>
      <c r="M10" s="5">
        <f t="shared" si="17"/>
        <v>3469.4381944444449</v>
      </c>
      <c r="N10" s="11">
        <f t="shared" si="8"/>
        <v>78.85881492318947</v>
      </c>
      <c r="O10" s="22">
        <f t="shared" ref="O10:O19" si="21">M10/41.01</f>
        <v>84.599809667018903</v>
      </c>
      <c r="P10" s="5">
        <v>1310</v>
      </c>
      <c r="Q10" s="76">
        <f t="shared" si="13"/>
        <v>-1.7254313578394576E-2</v>
      </c>
      <c r="R10" s="5">
        <f t="shared" si="18"/>
        <v>1455.1461805555557</v>
      </c>
      <c r="S10" s="11">
        <f t="shared" si="9"/>
        <v>69.345190831612939</v>
      </c>
      <c r="T10" s="11">
        <f t="shared" ref="T10:T19" si="22">R10/18.891</f>
        <v>77.028541662990619</v>
      </c>
      <c r="U10" s="16">
        <v>1828</v>
      </c>
      <c r="V10" s="76">
        <f t="shared" si="14"/>
        <v>-4.1928721174004147E-2</v>
      </c>
      <c r="W10" s="5">
        <f t="shared" si="19"/>
        <v>1961.0800925925928</v>
      </c>
      <c r="X10" s="11">
        <f t="shared" si="10"/>
        <v>96.510215933688826</v>
      </c>
      <c r="Y10" s="11">
        <f t="shared" ref="Y10:Y19" si="23">W10/18.941</f>
        <v>103.53624901497244</v>
      </c>
      <c r="Z10" s="114" t="s">
        <v>10</v>
      </c>
      <c r="AA10" s="21" t="s">
        <v>10</v>
      </c>
      <c r="AB10" s="21" t="s">
        <v>10</v>
      </c>
      <c r="AC10" s="21" t="s">
        <v>10</v>
      </c>
      <c r="AD10" s="109">
        <v>0</v>
      </c>
      <c r="AF10" s="74"/>
      <c r="AJ10" s="43">
        <v>0</v>
      </c>
      <c r="AK10">
        <v>2008</v>
      </c>
      <c r="AL10" s="204">
        <f t="shared" si="0"/>
        <v>1600.5260680122201</v>
      </c>
      <c r="AM10" s="204">
        <f t="shared" si="1"/>
        <v>581.50177793359035</v>
      </c>
      <c r="AN10" s="204">
        <f t="shared" si="2"/>
        <v>359.4854309610858</v>
      </c>
      <c r="AO10" s="204">
        <f t="shared" si="3"/>
        <v>1820.9574197425752</v>
      </c>
      <c r="AP10" s="204">
        <f t="shared" si="4"/>
        <v>69.680375904123338</v>
      </c>
      <c r="AQ10" s="204">
        <f t="shared" si="5"/>
        <v>1719.030315189272</v>
      </c>
      <c r="AR10" s="204">
        <f t="shared" si="6"/>
        <v>39.318261971384821</v>
      </c>
    </row>
    <row r="11" spans="1:44" x14ac:dyDescent="0.25">
      <c r="A11" s="128">
        <v>2009</v>
      </c>
      <c r="B11" s="125">
        <v>2835</v>
      </c>
      <c r="C11" s="129">
        <f t="shared" si="15"/>
        <v>0.95443833464257655</v>
      </c>
      <c r="D11" s="122">
        <f>K11+P11+U11</f>
        <v>7190</v>
      </c>
      <c r="E11" s="120">
        <f t="shared" si="11"/>
        <v>0.12837413684871302</v>
      </c>
      <c r="F11" s="125">
        <f t="shared" si="20"/>
        <v>7481.7423868312762</v>
      </c>
      <c r="G11" s="125">
        <f t="shared" si="16"/>
        <v>7190</v>
      </c>
      <c r="H11" s="123">
        <f>(D11/(Sammanställning!V12/1000))</f>
        <v>91.194585654419456</v>
      </c>
      <c r="I11" s="124" t="s">
        <v>10</v>
      </c>
      <c r="J11" s="124" t="s">
        <v>10</v>
      </c>
      <c r="K11" s="122">
        <v>3777</v>
      </c>
      <c r="L11" s="120">
        <f t="shared" si="12"/>
        <v>0.16790352504638228</v>
      </c>
      <c r="M11" s="125">
        <f t="shared" si="17"/>
        <v>3930.2560493827159</v>
      </c>
      <c r="N11" s="123">
        <f t="shared" si="8"/>
        <v>92.099487929773233</v>
      </c>
      <c r="O11" s="126">
        <f t="shared" si="21"/>
        <v>95.83652888033933</v>
      </c>
      <c r="P11" s="125">
        <v>1527</v>
      </c>
      <c r="Q11" s="120">
        <f t="shared" si="13"/>
        <v>0.16564885496183201</v>
      </c>
      <c r="R11" s="125">
        <f t="shared" si="18"/>
        <v>1644.956037037037</v>
      </c>
      <c r="S11" s="123">
        <f t="shared" si="9"/>
        <v>80.832142289979359</v>
      </c>
      <c r="T11" s="123">
        <f t="shared" si="22"/>
        <v>87.076175799959614</v>
      </c>
      <c r="U11" s="122">
        <v>1886</v>
      </c>
      <c r="V11" s="120">
        <f t="shared" si="14"/>
        <v>3.1728665207877427E-2</v>
      </c>
      <c r="W11" s="125">
        <f t="shared" si="19"/>
        <v>1962.5265843621401</v>
      </c>
      <c r="X11" s="123">
        <f t="shared" si="10"/>
        <v>99.572356264188798</v>
      </c>
      <c r="Y11" s="123">
        <f t="shared" si="23"/>
        <v>103.61261730437359</v>
      </c>
      <c r="Z11" s="114" t="s">
        <v>10</v>
      </c>
      <c r="AA11" s="21" t="s">
        <v>10</v>
      </c>
      <c r="AB11" s="21" t="s">
        <v>10</v>
      </c>
      <c r="AC11" s="21" t="s">
        <v>10</v>
      </c>
      <c r="AD11" s="109">
        <v>0</v>
      </c>
      <c r="AF11" s="74"/>
      <c r="AJ11" s="43">
        <v>0</v>
      </c>
      <c r="AK11">
        <v>2009</v>
      </c>
      <c r="AL11" s="204">
        <f t="shared" si="0"/>
        <v>1805.9922204971538</v>
      </c>
      <c r="AM11" s="204">
        <f t="shared" si="1"/>
        <v>656.15156675180708</v>
      </c>
      <c r="AN11" s="204">
        <f t="shared" si="2"/>
        <v>405.63406287040283</v>
      </c>
      <c r="AO11" s="204">
        <f t="shared" si="3"/>
        <v>2054.721256740288</v>
      </c>
      <c r="AP11" s="204">
        <f t="shared" si="4"/>
        <v>71.891241222744313</v>
      </c>
      <c r="AQ11" s="204">
        <f t="shared" si="5"/>
        <v>1773.5728525421046</v>
      </c>
      <c r="AR11" s="204">
        <f t="shared" si="6"/>
        <v>40.565777942030515</v>
      </c>
    </row>
    <row r="12" spans="1:44" x14ac:dyDescent="0.25">
      <c r="A12" s="30">
        <v>2010</v>
      </c>
      <c r="B12" s="5">
        <v>3906</v>
      </c>
      <c r="C12" s="19">
        <f t="shared" si="15"/>
        <v>1.315003927729772</v>
      </c>
      <c r="D12" s="16">
        <f>K12+P12+U12</f>
        <v>9234</v>
      </c>
      <c r="E12" s="76">
        <f t="shared" si="11"/>
        <v>0.28428372739916541</v>
      </c>
      <c r="F12" s="5">
        <f t="shared" si="20"/>
        <v>7353.8274193548386</v>
      </c>
      <c r="G12" s="5">
        <f t="shared" si="16"/>
        <v>9234</v>
      </c>
      <c r="H12" s="11">
        <f>(D12/(Sammanställning!V13/1000))</f>
        <v>117.11972238288028</v>
      </c>
      <c r="I12" s="14" t="s">
        <v>10</v>
      </c>
      <c r="J12" s="11">
        <v>12.47</v>
      </c>
      <c r="K12" s="16">
        <v>4964</v>
      </c>
      <c r="L12" s="76">
        <f t="shared" si="12"/>
        <v>0.31427058512046591</v>
      </c>
      <c r="M12" s="5">
        <f t="shared" si="17"/>
        <v>3953.2596176821985</v>
      </c>
      <c r="N12" s="11">
        <f t="shared" si="8"/>
        <v>121.04364789075835</v>
      </c>
      <c r="O12" s="22">
        <f t="shared" si="21"/>
        <v>96.39745471061201</v>
      </c>
      <c r="P12" s="5">
        <v>1774</v>
      </c>
      <c r="Q12" s="76">
        <f t="shared" si="13"/>
        <v>0.16175507531106748</v>
      </c>
      <c r="R12" s="5">
        <f t="shared" si="18"/>
        <v>1460.0051792114696</v>
      </c>
      <c r="S12" s="11">
        <f t="shared" si="9"/>
        <v>93.907151553649896</v>
      </c>
      <c r="T12" s="11">
        <f t="shared" si="22"/>
        <v>77.285754021040162</v>
      </c>
      <c r="U12" s="16">
        <v>2496</v>
      </c>
      <c r="V12" s="76">
        <f t="shared" si="14"/>
        <v>0.32343584305408268</v>
      </c>
      <c r="W12" s="5">
        <f t="shared" si="19"/>
        <v>1987.7792114695339</v>
      </c>
      <c r="X12" s="11">
        <f t="shared" si="10"/>
        <v>131.77762525737819</v>
      </c>
      <c r="Y12" s="11">
        <f t="shared" si="23"/>
        <v>104.94584295810856</v>
      </c>
      <c r="Z12" s="114" t="s">
        <v>10</v>
      </c>
      <c r="AA12" s="21" t="s">
        <v>10</v>
      </c>
      <c r="AB12" s="21" t="s">
        <v>10</v>
      </c>
      <c r="AC12" s="21" t="s">
        <v>10</v>
      </c>
      <c r="AD12" s="109">
        <v>0</v>
      </c>
      <c r="AF12" s="74"/>
      <c r="AJ12" s="43">
        <v>0</v>
      </c>
      <c r="AK12">
        <v>2010</v>
      </c>
      <c r="AL12" s="204">
        <f t="shared" si="0"/>
        <v>2319.4064205939799</v>
      </c>
      <c r="AM12" s="204">
        <f t="shared" si="1"/>
        <v>842.6847798868132</v>
      </c>
      <c r="AN12" s="204">
        <f t="shared" si="2"/>
        <v>520.9492262232684</v>
      </c>
      <c r="AO12" s="204">
        <f t="shared" si="3"/>
        <v>2638.8450743727149</v>
      </c>
      <c r="AP12" s="204">
        <f t="shared" si="4"/>
        <v>95.143445435827047</v>
      </c>
      <c r="AQ12" s="204">
        <f t="shared" si="5"/>
        <v>2347.2098833218943</v>
      </c>
      <c r="AR12" s="204">
        <f t="shared" si="6"/>
        <v>53.686204529855864</v>
      </c>
    </row>
    <row r="13" spans="1:44" x14ac:dyDescent="0.25">
      <c r="A13" s="30">
        <v>2011</v>
      </c>
      <c r="B13" s="5">
        <v>3287</v>
      </c>
      <c r="C13" s="19">
        <f t="shared" si="15"/>
        <v>1.1066098081023454</v>
      </c>
      <c r="D13" s="16">
        <f>K13+P13+U13</f>
        <v>6953</v>
      </c>
      <c r="E13" s="76">
        <f t="shared" si="11"/>
        <v>-0.24702187567684641</v>
      </c>
      <c r="F13" s="5">
        <f t="shared" si="20"/>
        <v>6383.6310211946047</v>
      </c>
      <c r="G13" s="5">
        <f t="shared" si="16"/>
        <v>6953</v>
      </c>
      <c r="H13" s="11">
        <f>(D13/(Sammanställning!V14/1000))</f>
        <v>88.188588881109652</v>
      </c>
      <c r="I13" s="14">
        <v>79</v>
      </c>
      <c r="J13" s="11">
        <f t="shared" ref="J13:J23" si="24">(I13*D13)/78842</f>
        <v>6.9669338677354711</v>
      </c>
      <c r="K13" s="16">
        <v>3560</v>
      </c>
      <c r="L13" s="76">
        <f t="shared" si="12"/>
        <v>-0.28283642224012895</v>
      </c>
      <c r="M13" s="5">
        <f t="shared" si="17"/>
        <v>3268.4778420038533</v>
      </c>
      <c r="N13" s="11">
        <f t="shared" si="8"/>
        <v>86.808095586442334</v>
      </c>
      <c r="O13" s="22">
        <f t="shared" si="21"/>
        <v>79.699532845741373</v>
      </c>
      <c r="P13" s="5">
        <v>1437</v>
      </c>
      <c r="Q13" s="76">
        <f t="shared" si="13"/>
        <v>-0.18996617812852312</v>
      </c>
      <c r="R13" s="5">
        <f t="shared" si="18"/>
        <v>1364.7762138728322</v>
      </c>
      <c r="S13" s="11">
        <f t="shared" si="9"/>
        <v>76.06796887406702</v>
      </c>
      <c r="T13" s="11">
        <f t="shared" si="22"/>
        <v>72.244783964471566</v>
      </c>
      <c r="U13" s="16">
        <v>1956</v>
      </c>
      <c r="V13" s="76">
        <f t="shared" si="14"/>
        <v>-0.21634615384615385</v>
      </c>
      <c r="W13" s="5">
        <f t="shared" si="19"/>
        <v>1795.8265895953755</v>
      </c>
      <c r="X13" s="11">
        <f t="shared" si="10"/>
        <v>103.26804286996463</v>
      </c>
      <c r="Y13" s="11">
        <f t="shared" si="23"/>
        <v>94.811603906624555</v>
      </c>
      <c r="Z13" s="114" t="s">
        <v>10</v>
      </c>
      <c r="AA13" s="21" t="s">
        <v>10</v>
      </c>
      <c r="AB13" s="21" t="s">
        <v>10</v>
      </c>
      <c r="AC13" s="21" t="s">
        <v>10</v>
      </c>
      <c r="AD13" s="109">
        <v>0</v>
      </c>
      <c r="AF13" s="74"/>
      <c r="AJ13" s="43">
        <v>0</v>
      </c>
      <c r="AK13">
        <v>2011</v>
      </c>
      <c r="AL13" s="204">
        <f t="shared" si="0"/>
        <v>1746.4622961219345</v>
      </c>
      <c r="AM13" s="204">
        <f t="shared" si="1"/>
        <v>634.52320495484207</v>
      </c>
      <c r="AN13" s="204">
        <f t="shared" si="2"/>
        <v>392.26337122919483</v>
      </c>
      <c r="AO13" s="204">
        <f t="shared" si="3"/>
        <v>1986.9926144805597</v>
      </c>
      <c r="AP13" s="204">
        <f t="shared" si="4"/>
        <v>74.559526952114467</v>
      </c>
      <c r="AQ13" s="204">
        <f t="shared" si="5"/>
        <v>1839.4000527955229</v>
      </c>
      <c r="AR13" s="204">
        <f t="shared" si="6"/>
        <v>42.071400665223585</v>
      </c>
    </row>
    <row r="14" spans="1:44" x14ac:dyDescent="0.25">
      <c r="A14" s="30">
        <v>2012</v>
      </c>
      <c r="B14" s="5">
        <v>3264</v>
      </c>
      <c r="C14" s="19">
        <f t="shared" si="15"/>
        <v>1.098866569408596</v>
      </c>
      <c r="D14" s="16">
        <f>K14+P14+U14</f>
        <v>7327</v>
      </c>
      <c r="E14" s="76">
        <f t="shared" si="11"/>
        <v>5.3789731051344658E-2</v>
      </c>
      <c r="F14" s="5">
        <f t="shared" si="20"/>
        <v>6766.6625868055562</v>
      </c>
      <c r="G14" s="5">
        <f t="shared" si="16"/>
        <v>7327</v>
      </c>
      <c r="H14" s="11">
        <f>(D14/(Sammanställning!V15/1000))</f>
        <v>92.932229358822156</v>
      </c>
      <c r="I14" s="10">
        <v>78.540000000000006</v>
      </c>
      <c r="J14" s="11">
        <f t="shared" si="24"/>
        <v>7.2989343243448932</v>
      </c>
      <c r="K14" s="16">
        <v>3492</v>
      </c>
      <c r="L14" s="76">
        <f t="shared" si="12"/>
        <v>-1.9101123595505642E-2</v>
      </c>
      <c r="M14" s="5">
        <f t="shared" si="17"/>
        <v>3224.9468750000005</v>
      </c>
      <c r="N14" s="11">
        <f t="shared" si="8"/>
        <v>85.149963423555235</v>
      </c>
      <c r="O14" s="22">
        <f t="shared" si="21"/>
        <v>78.638060838819811</v>
      </c>
      <c r="P14" s="5">
        <v>1654</v>
      </c>
      <c r="Q14" s="76">
        <f t="shared" si="13"/>
        <v>0.15100904662491299</v>
      </c>
      <c r="R14" s="5">
        <f t="shared" si="18"/>
        <v>1580.1907567401961</v>
      </c>
      <c r="S14" s="11">
        <f t="shared" si="9"/>
        <v>87.55492033243344</v>
      </c>
      <c r="T14" s="11">
        <f t="shared" si="22"/>
        <v>83.647808837022723</v>
      </c>
      <c r="U14" s="16">
        <v>2181</v>
      </c>
      <c r="V14" s="76">
        <f t="shared" si="14"/>
        <v>0.11503067484662566</v>
      </c>
      <c r="W14" s="5">
        <f t="shared" si="19"/>
        <v>2014.2065104166668</v>
      </c>
      <c r="X14" s="11">
        <f t="shared" si="10"/>
        <v>115.14703553138695</v>
      </c>
      <c r="Y14" s="11">
        <f t="shared" si="23"/>
        <v>106.34108602590501</v>
      </c>
      <c r="Z14" s="114" t="s">
        <v>10</v>
      </c>
      <c r="AA14" s="21" t="s">
        <v>10</v>
      </c>
      <c r="AB14" s="21" t="s">
        <v>10</v>
      </c>
      <c r="AC14" s="21" t="s">
        <v>10</v>
      </c>
      <c r="AD14" s="109">
        <v>0</v>
      </c>
      <c r="AF14" s="74"/>
      <c r="AJ14" s="43">
        <v>0</v>
      </c>
      <c r="AK14">
        <v>2012</v>
      </c>
      <c r="AL14" s="204">
        <f t="shared" si="0"/>
        <v>1840.4040333216474</v>
      </c>
      <c r="AM14" s="204">
        <f t="shared" si="1"/>
        <v>668.65403749520033</v>
      </c>
      <c r="AN14" s="204">
        <f t="shared" si="2"/>
        <v>413.36311246890705</v>
      </c>
      <c r="AO14" s="204">
        <f t="shared" si="3"/>
        <v>2093.8724128144772</v>
      </c>
      <c r="AP14" s="204">
        <f t="shared" si="4"/>
        <v>83.136159653661366</v>
      </c>
      <c r="AQ14" s="204">
        <f t="shared" si="5"/>
        <v>2050.987482181511</v>
      </c>
      <c r="AR14" s="204">
        <f t="shared" si="6"/>
        <v>46.910902275487032</v>
      </c>
    </row>
    <row r="15" spans="1:44" x14ac:dyDescent="0.25">
      <c r="A15" s="30">
        <v>2013</v>
      </c>
      <c r="B15" s="5">
        <v>3389</v>
      </c>
      <c r="C15" s="19">
        <f t="shared" si="15"/>
        <v>1.140949388396364</v>
      </c>
      <c r="D15" s="16">
        <f t="shared" ref="D15:D20" si="25">K15+P15+U15+Z15</f>
        <v>7463</v>
      </c>
      <c r="E15" s="76">
        <f t="shared" si="11"/>
        <v>1.8561484918793614E-2</v>
      </c>
      <c r="F15" s="5">
        <f t="shared" si="20"/>
        <v>6679.3372873020562</v>
      </c>
      <c r="G15" s="5">
        <f t="shared" si="16"/>
        <v>7463</v>
      </c>
      <c r="H15" s="11">
        <f>(D15/(Sammanställning!V16/1000))</f>
        <v>94.657189532535796</v>
      </c>
      <c r="I15" s="10">
        <v>75.88</v>
      </c>
      <c r="J15" s="11">
        <f t="shared" si="24"/>
        <v>7.1826239821414974</v>
      </c>
      <c r="K15" s="16">
        <v>3550</v>
      </c>
      <c r="L15" s="76">
        <f t="shared" si="12"/>
        <v>1.6609392898052633E-2</v>
      </c>
      <c r="M15" s="5">
        <f t="shared" si="17"/>
        <v>3177.2273040228192</v>
      </c>
      <c r="N15" s="11">
        <f t="shared" si="8"/>
        <v>86.56425262131188</v>
      </c>
      <c r="O15" s="22">
        <f t="shared" si="21"/>
        <v>77.474452670636907</v>
      </c>
      <c r="P15" s="5">
        <v>1679</v>
      </c>
      <c r="Q15" s="76">
        <f t="shared" si="13"/>
        <v>1.5114873035066534E-2</v>
      </c>
      <c r="R15" s="5">
        <f t="shared" si="18"/>
        <v>1554.1996178813808</v>
      </c>
      <c r="S15" s="11">
        <f t="shared" si="9"/>
        <v>88.878301836853538</v>
      </c>
      <c r="T15" s="11">
        <f t="shared" si="22"/>
        <v>82.271961139239906</v>
      </c>
      <c r="U15" s="16">
        <f>2234-Z15</f>
        <v>2130.1</v>
      </c>
      <c r="V15" s="76">
        <f t="shared" si="14"/>
        <v>-2.3337918386061474E-2</v>
      </c>
      <c r="W15" s="5">
        <f t="shared" si="19"/>
        <v>1906.425881774368</v>
      </c>
      <c r="X15" s="11">
        <f t="shared" si="10"/>
        <v>112.45974341375852</v>
      </c>
      <c r="Y15" s="11">
        <f t="shared" si="23"/>
        <v>100.65075137397012</v>
      </c>
      <c r="Z15" s="71">
        <v>103.9</v>
      </c>
      <c r="AA15" s="146"/>
      <c r="AB15" s="11">
        <f t="shared" ref="AB15:AB23" si="26">((Z15-(Z15*0.15))/C15)+(Z15*0.15)</f>
        <v>92.989835743090396</v>
      </c>
      <c r="AC15" s="11">
        <f>(Z15/4.826)/0.35</f>
        <v>61.51204783612576</v>
      </c>
      <c r="AD15" s="22">
        <f>(AB15/4.826)/0.35</f>
        <v>55.052889552477893</v>
      </c>
      <c r="AF15" s="74"/>
      <c r="AJ15" s="43">
        <v>0</v>
      </c>
      <c r="AK15">
        <v>2013</v>
      </c>
      <c r="AL15" s="204">
        <f t="shared" si="0"/>
        <v>1874.5646650306339</v>
      </c>
      <c r="AM15" s="204">
        <f t="shared" si="1"/>
        <v>681.06524932805792</v>
      </c>
      <c r="AN15" s="204">
        <f t="shared" si="2"/>
        <v>421.0357456469842</v>
      </c>
      <c r="AO15" s="204">
        <f t="shared" si="3"/>
        <v>2132.7377940268111</v>
      </c>
      <c r="AP15" s="204">
        <f t="shared" si="4"/>
        <v>81.195934744733648</v>
      </c>
      <c r="AQ15" s="204">
        <f t="shared" si="5"/>
        <v>2003.1217037115252</v>
      </c>
      <c r="AR15" s="204">
        <f t="shared" si="6"/>
        <v>45.816099466765216</v>
      </c>
    </row>
    <row r="16" spans="1:44" x14ac:dyDescent="0.25">
      <c r="A16" s="30">
        <v>2014</v>
      </c>
      <c r="B16" s="5">
        <f>Sammanställning!B17</f>
        <v>2707</v>
      </c>
      <c r="C16" s="19">
        <f t="shared" si="15"/>
        <v>0.91134552799910218</v>
      </c>
      <c r="D16" s="16">
        <f t="shared" si="25"/>
        <v>7227</v>
      </c>
      <c r="E16" s="76">
        <f t="shared" si="11"/>
        <v>-3.1622671847782446E-2</v>
      </c>
      <c r="F16" s="5">
        <f t="shared" si="20"/>
        <v>7824.5779460657559</v>
      </c>
      <c r="G16" s="5">
        <f t="shared" si="16"/>
        <v>7227</v>
      </c>
      <c r="H16" s="11">
        <f>(D16/(Sammanställning!V17/1000))</f>
        <v>86.376696578397585</v>
      </c>
      <c r="I16" s="10">
        <v>75.88</v>
      </c>
      <c r="J16" s="11">
        <f t="shared" si="24"/>
        <v>6.9554902209482261</v>
      </c>
      <c r="K16" s="16">
        <v>3381</v>
      </c>
      <c r="L16" s="76">
        <f t="shared" si="12"/>
        <v>-4.7605633802816905E-2</v>
      </c>
      <c r="M16" s="5">
        <f t="shared" si="17"/>
        <v>3660.5642777983007</v>
      </c>
      <c r="N16" s="11">
        <f t="shared" si="8"/>
        <v>82.443306510607172</v>
      </c>
      <c r="O16" s="22">
        <f t="shared" si="21"/>
        <v>89.260284754896389</v>
      </c>
      <c r="P16" s="5">
        <v>1630</v>
      </c>
      <c r="Q16" s="76">
        <f t="shared" si="13"/>
        <v>-2.9184038117927358E-2</v>
      </c>
      <c r="R16" s="5">
        <f t="shared" si="18"/>
        <v>1827.3793313631327</v>
      </c>
      <c r="S16" s="11">
        <f t="shared" si="9"/>
        <v>86.284474088190152</v>
      </c>
      <c r="T16" s="11">
        <f t="shared" si="22"/>
        <v>96.732800347421147</v>
      </c>
      <c r="U16" s="16">
        <f>2216-Z16</f>
        <v>1959.7</v>
      </c>
      <c r="V16" s="76">
        <f t="shared" si="14"/>
        <v>-7.9996244307778963E-2</v>
      </c>
      <c r="W16" s="5">
        <f t="shared" si="19"/>
        <v>2121.7414419406482</v>
      </c>
      <c r="X16" s="11">
        <f t="shared" si="10"/>
        <v>103.46338630484136</v>
      </c>
      <c r="Y16" s="11">
        <f t="shared" si="23"/>
        <v>112.01844896999357</v>
      </c>
      <c r="Z16" s="71">
        <v>256.3</v>
      </c>
      <c r="AA16" s="118" t="s">
        <v>10</v>
      </c>
      <c r="AB16" s="11">
        <f t="shared" si="26"/>
        <v>277.49264253170799</v>
      </c>
      <c r="AC16" s="11">
        <f t="shared" ref="AC16:AC21" si="27">(Z16/4.826)</f>
        <v>53.108164111065072</v>
      </c>
      <c r="AD16" s="22">
        <f t="shared" ref="AD16:AD21" si="28">(AB16/4.826)</f>
        <v>57.499511506777459</v>
      </c>
      <c r="AF16" s="74"/>
      <c r="AJ16" s="43">
        <v>0</v>
      </c>
      <c r="AK16">
        <v>2014</v>
      </c>
      <c r="AL16" s="204">
        <f t="shared" si="0"/>
        <v>1815.285921770922</v>
      </c>
      <c r="AM16" s="204">
        <f t="shared" si="1"/>
        <v>659.52814644162868</v>
      </c>
      <c r="AN16" s="204">
        <f t="shared" si="2"/>
        <v>407.72147042620327</v>
      </c>
      <c r="AO16" s="204">
        <f t="shared" si="3"/>
        <v>2065.2949266289379</v>
      </c>
      <c r="AP16" s="204">
        <f t="shared" si="4"/>
        <v>74.700564912095459</v>
      </c>
      <c r="AQ16" s="204">
        <f t="shared" si="5"/>
        <v>1842.8794905232037</v>
      </c>
      <c r="AR16" s="204">
        <f t="shared" si="6"/>
        <v>42.150983580592367</v>
      </c>
    </row>
    <row r="17" spans="1:44" x14ac:dyDescent="0.25">
      <c r="A17" s="30">
        <v>2015</v>
      </c>
      <c r="B17" s="5">
        <v>2712</v>
      </c>
      <c r="C17" s="19">
        <f t="shared" si="15"/>
        <v>0.9130288407586129</v>
      </c>
      <c r="D17" s="16">
        <f t="shared" si="25"/>
        <v>7952</v>
      </c>
      <c r="E17" s="76">
        <f t="shared" si="11"/>
        <v>0.10031825100318259</v>
      </c>
      <c r="F17" s="5">
        <f t="shared" si="20"/>
        <v>8595.8520157325474</v>
      </c>
      <c r="G17" s="5">
        <f t="shared" si="16"/>
        <v>7952</v>
      </c>
      <c r="H17" s="11">
        <f>(D17/(Sammanställning!V18/1000))</f>
        <v>95.041855706575006</v>
      </c>
      <c r="I17" s="10">
        <v>55.36</v>
      </c>
      <c r="J17" s="11">
        <f t="shared" si="24"/>
        <v>5.5836067070850559</v>
      </c>
      <c r="K17" s="16">
        <v>3793</v>
      </c>
      <c r="L17" s="76">
        <f t="shared" si="12"/>
        <v>0.12185743862762499</v>
      </c>
      <c r="M17" s="5">
        <f t="shared" si="17"/>
        <v>4100.1089909046223</v>
      </c>
      <c r="N17" s="11">
        <f t="shared" si="8"/>
        <v>92.489636673981963</v>
      </c>
      <c r="O17" s="22">
        <f t="shared" si="21"/>
        <v>99.978273370022492</v>
      </c>
      <c r="P17" s="5">
        <v>1787</v>
      </c>
      <c r="Q17" s="76">
        <f t="shared" si="13"/>
        <v>9.6319018404908086E-2</v>
      </c>
      <c r="R17" s="5">
        <f t="shared" si="18"/>
        <v>2000.191340339233</v>
      </c>
      <c r="S17" s="11">
        <f t="shared" si="9"/>
        <v>94.59530993594835</v>
      </c>
      <c r="T17" s="11">
        <f t="shared" si="22"/>
        <v>105.88064900424716</v>
      </c>
      <c r="U17" s="16">
        <f>2372-Z17</f>
        <v>2067.1999999999998</v>
      </c>
      <c r="V17" s="76">
        <f t="shared" si="14"/>
        <v>5.4855335000254968E-2</v>
      </c>
      <c r="W17" s="5">
        <f t="shared" si="19"/>
        <v>2234.5756145526057</v>
      </c>
      <c r="X17" s="11">
        <f t="shared" si="10"/>
        <v>109.13890502085422</v>
      </c>
      <c r="Y17" s="11">
        <f t="shared" si="23"/>
        <v>117.97558811850513</v>
      </c>
      <c r="Z17" s="71">
        <v>304.8</v>
      </c>
      <c r="AA17" s="118">
        <f t="shared" ref="AA17:AA23" si="29">(Z17/Z16)-1</f>
        <v>0.18923136948888031</v>
      </c>
      <c r="AB17" s="11">
        <f t="shared" si="26"/>
        <v>329.47883480825965</v>
      </c>
      <c r="AC17" s="11">
        <f t="shared" si="27"/>
        <v>63.15789473684211</v>
      </c>
      <c r="AD17" s="22">
        <f t="shared" si="28"/>
        <v>68.271619313771168</v>
      </c>
      <c r="AF17" s="74"/>
      <c r="AJ17" s="43">
        <v>0</v>
      </c>
      <c r="AK17">
        <v>2015</v>
      </c>
      <c r="AL17" s="204">
        <f t="shared" si="0"/>
        <v>1997.3922305136809</v>
      </c>
      <c r="AM17" s="204">
        <f t="shared" si="1"/>
        <v>725.69085658002371</v>
      </c>
      <c r="AN17" s="204">
        <f t="shared" si="2"/>
        <v>448.62337523580578</v>
      </c>
      <c r="AO17" s="204">
        <f t="shared" si="3"/>
        <v>2272.4817014740988</v>
      </c>
      <c r="AP17" s="204">
        <f t="shared" si="4"/>
        <v>78.798289425056751</v>
      </c>
      <c r="AQ17" s="204">
        <f t="shared" si="5"/>
        <v>1943.9712623409534</v>
      </c>
      <c r="AR17" s="204">
        <f t="shared" si="6"/>
        <v>44.463189905496009</v>
      </c>
    </row>
    <row r="18" spans="1:44" x14ac:dyDescent="0.25">
      <c r="A18" s="30">
        <v>2016</v>
      </c>
      <c r="B18" s="5">
        <f>Sammanställning!B19</f>
        <v>2950</v>
      </c>
      <c r="C18" s="19">
        <f t="shared" si="15"/>
        <v>0.99315452811132299</v>
      </c>
      <c r="D18" s="16">
        <f t="shared" si="25"/>
        <v>8124</v>
      </c>
      <c r="E18" s="76">
        <f t="shared" ref="E18:E19" si="30">(D18/D17)-1</f>
        <v>2.1629778672032085E-2</v>
      </c>
      <c r="F18" s="5">
        <f t="shared" si="20"/>
        <v>8171.5965423728812</v>
      </c>
      <c r="G18" s="5">
        <f t="shared" si="16"/>
        <v>8124</v>
      </c>
      <c r="H18" s="11">
        <f>(D18/(Sammanställning!V19/1000))</f>
        <v>97.097590010087444</v>
      </c>
      <c r="I18" s="10">
        <v>50.12</v>
      </c>
      <c r="J18" s="11">
        <f t="shared" si="24"/>
        <v>5.1644412876385681</v>
      </c>
      <c r="K18" s="16">
        <v>3994</v>
      </c>
      <c r="L18" s="76">
        <f t="shared" si="12"/>
        <v>5.2992354336936387E-2</v>
      </c>
      <c r="M18" s="5">
        <f t="shared" si="17"/>
        <v>4017.399875706215</v>
      </c>
      <c r="N18" s="11">
        <f t="shared" si="8"/>
        <v>97.390880273104131</v>
      </c>
      <c r="O18" s="22">
        <f t="shared" si="21"/>
        <v>97.96146978069288</v>
      </c>
      <c r="P18" s="5">
        <v>1624</v>
      </c>
      <c r="Q18" s="76">
        <f t="shared" si="13"/>
        <v>-9.121432568550647E-2</v>
      </c>
      <c r="R18" s="5">
        <f t="shared" si="18"/>
        <v>1690.7464</v>
      </c>
      <c r="S18" s="11">
        <f t="shared" si="9"/>
        <v>85.966862527129322</v>
      </c>
      <c r="T18" s="11">
        <f t="shared" si="22"/>
        <v>89.500100576994342</v>
      </c>
      <c r="U18" s="16">
        <f>2506-Z18</f>
        <v>2164.9</v>
      </c>
      <c r="V18" s="76">
        <f t="shared" si="14"/>
        <v>4.7261996904024883E-2</v>
      </c>
      <c r="W18" s="5">
        <f t="shared" si="19"/>
        <v>2177.5836231638418</v>
      </c>
      <c r="X18" s="11">
        <f t="shared" si="10"/>
        <v>114.29702761205851</v>
      </c>
      <c r="Y18" s="11">
        <f t="shared" si="23"/>
        <v>114.96666612976306</v>
      </c>
      <c r="Z18" s="71">
        <v>341.1</v>
      </c>
      <c r="AA18" s="118">
        <f t="shared" si="29"/>
        <v>0.11909448818897639</v>
      </c>
      <c r="AB18" s="11">
        <f t="shared" si="26"/>
        <v>343.09842203389837</v>
      </c>
      <c r="AC18" s="11">
        <f t="shared" si="27"/>
        <v>70.679651885619577</v>
      </c>
      <c r="AD18" s="22">
        <f t="shared" si="28"/>
        <v>71.093746795254532</v>
      </c>
      <c r="AF18" s="74"/>
      <c r="AJ18" s="43">
        <v>0</v>
      </c>
      <c r="AK18">
        <v>2016</v>
      </c>
      <c r="AL18" s="204">
        <f t="shared" si="0"/>
        <v>2040.5953823809286</v>
      </c>
      <c r="AM18" s="204">
        <f t="shared" si="1"/>
        <v>741.38738919216701</v>
      </c>
      <c r="AN18" s="204">
        <f t="shared" si="2"/>
        <v>458.3269995492563</v>
      </c>
      <c r="AO18" s="204">
        <f t="shared" si="3"/>
        <v>2321.6349777132268</v>
      </c>
      <c r="AP18" s="204">
        <f t="shared" ref="AP18:AP19" si="31">U18*(722/18941)</f>
        <v>82.522453935906242</v>
      </c>
      <c r="AQ18" s="204">
        <f t="shared" ref="AQ18:AQ19" si="32">U18*(17811.9/18941)</f>
        <v>2035.8472261232248</v>
      </c>
      <c r="AR18" s="204">
        <f t="shared" ref="AR18:AR19" si="33">U18*(407.4/18941)</f>
        <v>46.564609049152629</v>
      </c>
    </row>
    <row r="19" spans="1:44" x14ac:dyDescent="0.25">
      <c r="A19" s="30">
        <v>2017</v>
      </c>
      <c r="B19" s="5">
        <v>2908</v>
      </c>
      <c r="C19" s="19">
        <f t="shared" si="15"/>
        <v>0.97901470093143306</v>
      </c>
      <c r="D19" s="16">
        <f t="shared" si="25"/>
        <v>7224</v>
      </c>
      <c r="E19" s="76">
        <f t="shared" si="30"/>
        <v>-0.1107828655834564</v>
      </c>
      <c r="F19" s="5">
        <f t="shared" si="20"/>
        <v>7355.6202200825301</v>
      </c>
      <c r="G19" s="5">
        <f t="shared" si="16"/>
        <v>7224</v>
      </c>
      <c r="H19" s="11">
        <f>(D19/(Sammanställning!V20/1000))</f>
        <v>86.340840747522364</v>
      </c>
      <c r="I19" s="10">
        <v>54.6</v>
      </c>
      <c r="J19" s="11">
        <f t="shared" si="24"/>
        <v>5.0027954643464145</v>
      </c>
      <c r="K19" s="16">
        <v>3586</v>
      </c>
      <c r="L19" s="76">
        <f t="shared" si="12"/>
        <v>-0.10215322984476716</v>
      </c>
      <c r="M19" s="5">
        <f t="shared" si="17"/>
        <v>3651.3363938560292</v>
      </c>
      <c r="N19" s="11">
        <f t="shared" si="8"/>
        <v>87.442087295781519</v>
      </c>
      <c r="O19" s="22">
        <f t="shared" si="21"/>
        <v>89.035269296660061</v>
      </c>
      <c r="P19" s="5">
        <v>1310</v>
      </c>
      <c r="Q19" s="76">
        <f t="shared" si="13"/>
        <v>-0.19334975369458129</v>
      </c>
      <c r="R19" s="5">
        <f t="shared" si="18"/>
        <v>1380.7008081155432</v>
      </c>
      <c r="S19" s="11">
        <f t="shared" si="9"/>
        <v>69.345190831612939</v>
      </c>
      <c r="T19" s="11">
        <f t="shared" si="22"/>
        <v>73.087756503919508</v>
      </c>
      <c r="U19" s="16">
        <f>2328-Z19</f>
        <v>1987.4</v>
      </c>
      <c r="V19" s="76">
        <f t="shared" si="14"/>
        <v>-8.1989930250819909E-2</v>
      </c>
      <c r="W19" s="5">
        <f t="shared" si="19"/>
        <v>2023.6101364053188</v>
      </c>
      <c r="X19" s="11">
        <f t="shared" si="10"/>
        <v>104.92582229026979</v>
      </c>
      <c r="Y19" s="11">
        <f t="shared" si="23"/>
        <v>106.83755537750483</v>
      </c>
      <c r="Z19" s="71">
        <v>340.6</v>
      </c>
      <c r="AA19" s="118">
        <f t="shared" si="29"/>
        <v>-1.4658457930225577E-3</v>
      </c>
      <c r="AB19" s="11">
        <f t="shared" si="26"/>
        <v>346.80568202659333</v>
      </c>
      <c r="AC19" s="11">
        <f t="shared" si="27"/>
        <v>70.57604641525073</v>
      </c>
      <c r="AD19" s="22">
        <f t="shared" si="28"/>
        <v>71.861931625899985</v>
      </c>
      <c r="AF19" s="74"/>
      <c r="AJ19" s="43">
        <v>0</v>
      </c>
      <c r="AK19">
        <v>2017</v>
      </c>
      <c r="AL19" s="204">
        <f t="shared" si="0"/>
        <v>1814.5323784244003</v>
      </c>
      <c r="AM19" s="204">
        <f t="shared" si="1"/>
        <v>659.25436971002148</v>
      </c>
      <c r="AN19" s="204">
        <f t="shared" si="2"/>
        <v>407.55222116492212</v>
      </c>
      <c r="AO19" s="204">
        <f t="shared" si="3"/>
        <v>2064.4376020433715</v>
      </c>
      <c r="AP19" s="204">
        <f t="shared" si="31"/>
        <v>75.756443693574795</v>
      </c>
      <c r="AQ19" s="204">
        <f t="shared" si="32"/>
        <v>1868.9282540520564</v>
      </c>
      <c r="AR19" s="204">
        <f t="shared" si="33"/>
        <v>42.74678000105591</v>
      </c>
    </row>
    <row r="20" spans="1:44" x14ac:dyDescent="0.25">
      <c r="A20" s="30">
        <v>2018</v>
      </c>
      <c r="B20" s="5">
        <f>Sammanställning!B21</f>
        <v>3005</v>
      </c>
      <c r="C20" s="19">
        <f t="shared" si="15"/>
        <v>1.0116709684659408</v>
      </c>
      <c r="D20" s="16">
        <f t="shared" si="25"/>
        <v>7470</v>
      </c>
      <c r="E20" s="76">
        <f t="shared" ref="E20" si="34">(D20/D19)-1</f>
        <v>3.4053156146179431E-2</v>
      </c>
      <c r="F20" s="5">
        <f t="shared" si="20"/>
        <v>7396.7500831946763</v>
      </c>
      <c r="G20" s="5">
        <f t="shared" si="16"/>
        <v>7470</v>
      </c>
      <c r="H20" s="11">
        <f>(D20/(Sammanställning!V21/1000))</f>
        <v>89.281018879290158</v>
      </c>
      <c r="I20" s="10">
        <v>55.6</v>
      </c>
      <c r="J20" s="11">
        <f t="shared" si="24"/>
        <v>5.2679028943963875</v>
      </c>
      <c r="K20" s="16">
        <v>3599</v>
      </c>
      <c r="L20" s="76">
        <f t="shared" ref="L20" si="35">(K20/K19)-1</f>
        <v>3.6252091466815184E-3</v>
      </c>
      <c r="M20" s="5">
        <f t="shared" si="17"/>
        <v>3563.7086411536334</v>
      </c>
      <c r="N20" s="11">
        <f t="shared" ref="N20" si="36">K20/41.01</f>
        <v>87.759083150451119</v>
      </c>
      <c r="O20" s="22">
        <f t="shared" ref="O20" si="37">M20/41.01</f>
        <v>86.898528191993009</v>
      </c>
      <c r="P20" s="5">
        <v>1383</v>
      </c>
      <c r="Q20" s="76">
        <f t="shared" ref="Q20" si="38">(P20/P19)-1</f>
        <v>5.5725190839694738E-2</v>
      </c>
      <c r="R20" s="5">
        <f t="shared" si="18"/>
        <v>1417.2850532445925</v>
      </c>
      <c r="S20" s="11">
        <f t="shared" ref="S20" si="39">P20/18.891</f>
        <v>73.209464824519614</v>
      </c>
      <c r="T20" s="11">
        <f t="shared" ref="T20" si="40">R20/18.891</f>
        <v>75.024353038197688</v>
      </c>
      <c r="U20" s="16">
        <f>2488-Z20</f>
        <v>2121</v>
      </c>
      <c r="V20" s="76">
        <f t="shared" ref="V20" si="41">(U20/U19)-1</f>
        <v>6.7223508101036389E-2</v>
      </c>
      <c r="W20" s="5">
        <f t="shared" si="19"/>
        <v>2100.2017304492515</v>
      </c>
      <c r="X20" s="11">
        <f t="shared" ref="X20" si="42">U20/18.941</f>
        <v>111.97930415500767</v>
      </c>
      <c r="Y20" s="11">
        <f t="shared" ref="Y20" si="43">W20/18.941</f>
        <v>110.88124863783599</v>
      </c>
      <c r="Z20" s="71">
        <v>367</v>
      </c>
      <c r="AA20" s="118">
        <f t="shared" si="29"/>
        <v>7.7510275983558419E-2</v>
      </c>
      <c r="AB20" s="11">
        <f t="shared" si="26"/>
        <v>363.40124237382145</v>
      </c>
      <c r="AC20" s="11">
        <f t="shared" si="27"/>
        <v>76.046415250725246</v>
      </c>
      <c r="AD20" s="22">
        <f t="shared" si="28"/>
        <v>75.300713297517916</v>
      </c>
      <c r="AF20" s="74"/>
      <c r="AJ20" s="43">
        <v>0</v>
      </c>
      <c r="AK20">
        <v>2018</v>
      </c>
      <c r="AL20" s="204">
        <f t="shared" si="0"/>
        <v>1876.3229328391847</v>
      </c>
      <c r="AM20" s="204">
        <f t="shared" si="1"/>
        <v>681.70406170180797</v>
      </c>
      <c r="AN20" s="204">
        <f t="shared" si="2"/>
        <v>421.43066058997346</v>
      </c>
      <c r="AO20" s="204">
        <f t="shared" si="3"/>
        <v>2134.7382180597988</v>
      </c>
      <c r="AP20" s="204">
        <f t="shared" ref="AP20" si="44">U20*(722/18941)</f>
        <v>80.849057599915525</v>
      </c>
      <c r="AQ20" s="204">
        <f t="shared" ref="AQ20" si="45">U20*(17811.9/18941)</f>
        <v>1994.5641676785808</v>
      </c>
      <c r="AR20" s="204">
        <f t="shared" ref="AR20" si="46">U20*(407.4/18941)</f>
        <v>45.620368512750119</v>
      </c>
    </row>
    <row r="21" spans="1:44" x14ac:dyDescent="0.25">
      <c r="A21" s="30">
        <v>2019</v>
      </c>
      <c r="B21" s="5">
        <f>Sammanställning!B22</f>
        <v>2802</v>
      </c>
      <c r="C21" s="19">
        <f t="shared" si="15"/>
        <v>0.94332847042980583</v>
      </c>
      <c r="D21" s="16">
        <f>K21+P21+U21+Z21+AF21</f>
        <v>7571.6</v>
      </c>
      <c r="E21" s="76">
        <f t="shared" ref="E21" si="47">(D21/D20)-1</f>
        <v>1.3601070950468586E-2</v>
      </c>
      <c r="F21" s="5">
        <f t="shared" si="20"/>
        <v>7958.2416012372123</v>
      </c>
      <c r="G21" s="5">
        <f t="shared" si="16"/>
        <v>7571.6</v>
      </c>
      <c r="H21" s="11">
        <f>(D21/(Sammanställning!V22/1000))</f>
        <v>83.42037186385852</v>
      </c>
      <c r="I21" s="10">
        <v>56.6</v>
      </c>
      <c r="J21" s="11">
        <f t="shared" si="24"/>
        <v>5.4355871236143178</v>
      </c>
      <c r="K21" s="16">
        <v>3425.6</v>
      </c>
      <c r="L21" s="76">
        <f>(K21/K20)-1</f>
        <v>-4.8180050013892806E-2</v>
      </c>
      <c r="M21" s="5">
        <f t="shared" si="17"/>
        <v>3600.5272900309301</v>
      </c>
      <c r="N21" s="11">
        <f t="shared" ref="N21:N22" si="48">K21/41.01</f>
        <v>83.530846135089007</v>
      </c>
      <c r="O21" s="22">
        <f t="shared" ref="O21:O22" si="49">M21/41.01</f>
        <v>87.796325043426734</v>
      </c>
      <c r="P21" s="5">
        <v>1447</v>
      </c>
      <c r="Q21" s="76">
        <f t="shared" ref="Q21:Q24" si="50">(P21/P20)-1</f>
        <v>4.6276211135213297E-2</v>
      </c>
      <c r="R21" s="5">
        <f t="shared" si="18"/>
        <v>1574.578199500357</v>
      </c>
      <c r="S21" s="11">
        <f t="shared" ref="S21:S24" si="51">P21/18.891</f>
        <v>76.597321475835059</v>
      </c>
      <c r="T21" s="11">
        <f t="shared" ref="T21:T24" si="52">R21/18.891</f>
        <v>83.350706659274636</v>
      </c>
      <c r="U21" s="16">
        <f>2385-Z21</f>
        <v>2045</v>
      </c>
      <c r="V21" s="76">
        <f t="shared" ref="V21:V23" si="53">(U21/U20)-1</f>
        <v>-3.5832154644035885E-2</v>
      </c>
      <c r="W21" s="5">
        <f t="shared" si="19"/>
        <v>2149.4273435641207</v>
      </c>
      <c r="X21" s="11">
        <f t="shared" ref="X21:X23" si="54">U21/18.941</f>
        <v>107.9668444115939</v>
      </c>
      <c r="Y21" s="11">
        <f t="shared" ref="Y21:Y23" si="55">W21/18.941</f>
        <v>113.48014062426064</v>
      </c>
      <c r="Z21" s="71">
        <v>340</v>
      </c>
      <c r="AA21" s="118">
        <f t="shared" si="29"/>
        <v>-7.3569482288828314E-2</v>
      </c>
      <c r="AB21" s="11">
        <f t="shared" si="26"/>
        <v>357.36200333095411</v>
      </c>
      <c r="AC21" s="11">
        <f t="shared" si="27"/>
        <v>70.451719850808132</v>
      </c>
      <c r="AD21" s="22">
        <f t="shared" si="28"/>
        <v>74.049316894105701</v>
      </c>
      <c r="AF21" s="114">
        <v>314</v>
      </c>
      <c r="AG21" s="118" t="s">
        <v>10</v>
      </c>
      <c r="AH21" s="11">
        <f>((AF21-(AF21*0.15))/C21)+(AF21*0.15)</f>
        <v>330.03432072329286</v>
      </c>
      <c r="AI21" s="11">
        <f>(AF21/4.826)</f>
        <v>65.064235391628685</v>
      </c>
      <c r="AJ21" s="22">
        <f>(AH21/4.826)</f>
        <v>68.386722072791727</v>
      </c>
      <c r="AK21">
        <v>2019</v>
      </c>
      <c r="AL21" s="204">
        <f t="shared" si="0"/>
        <v>1901.8429341747217</v>
      </c>
      <c r="AM21" s="204">
        <f t="shared" si="1"/>
        <v>690.97596701223688</v>
      </c>
      <c r="AN21" s="204">
        <f t="shared" si="2"/>
        <v>427.16256890536056</v>
      </c>
      <c r="AO21" s="204">
        <f t="shared" si="3"/>
        <v>2163.772944024307</v>
      </c>
      <c r="AP21" s="204">
        <f t="shared" ref="AP21:AP23" si="56">U21*(722/18941)</f>
        <v>77.952061665170788</v>
      </c>
      <c r="AQ21" s="204">
        <f t="shared" ref="AQ21:AQ23" si="57">U21*(17811.9/18941)</f>
        <v>1923.0946359748693</v>
      </c>
      <c r="AR21" s="204">
        <f t="shared" ref="AR21:AR23" si="58">U21*(407.4/18941)</f>
        <v>43.985692413283353</v>
      </c>
    </row>
    <row r="22" spans="1:44" x14ac:dyDescent="0.25">
      <c r="A22" s="30">
        <v>2020</v>
      </c>
      <c r="B22" s="5">
        <f>Sammanställning!B23</f>
        <v>2650</v>
      </c>
      <c r="C22" s="19">
        <f t="shared" si="15"/>
        <v>0.89215576254067996</v>
      </c>
      <c r="D22" s="16">
        <f>K22+P22+U22+Z22+AF22</f>
        <v>7036</v>
      </c>
      <c r="E22" s="76">
        <f t="shared" ref="E22" si="59">(D22/D21)-1</f>
        <v>-7.0738021025939068E-2</v>
      </c>
      <c r="F22" s="5">
        <f t="shared" si="20"/>
        <v>7758.937937106919</v>
      </c>
      <c r="G22" s="5">
        <f t="shared" si="16"/>
        <v>7036</v>
      </c>
      <c r="H22" s="11">
        <f>(D22/(Sammanställning!V23/1000))</f>
        <v>77.51937984496125</v>
      </c>
      <c r="I22" s="10">
        <v>57.6</v>
      </c>
      <c r="J22" s="11">
        <f t="shared" si="24"/>
        <v>5.1403262220643819</v>
      </c>
      <c r="K22" s="16">
        <v>3169</v>
      </c>
      <c r="L22" s="76">
        <f>(K22/K21)-1</f>
        <v>-7.4906585707613216E-2</v>
      </c>
      <c r="M22" s="5">
        <f t="shared" si="17"/>
        <v>3494.609767295598</v>
      </c>
      <c r="N22" s="11">
        <f t="shared" si="48"/>
        <v>77.273835649841502</v>
      </c>
      <c r="O22" s="22">
        <f t="shared" si="49"/>
        <v>85.21360076312115</v>
      </c>
      <c r="P22" s="5">
        <v>1273</v>
      </c>
      <c r="Q22" s="76">
        <f t="shared" si="50"/>
        <v>-0.12024879060124394</v>
      </c>
      <c r="R22" s="5">
        <f t="shared" si="18"/>
        <v>1453.7395792452833</v>
      </c>
      <c r="S22" s="11">
        <f t="shared" si="51"/>
        <v>67.386586205071211</v>
      </c>
      <c r="T22" s="11">
        <f t="shared" si="52"/>
        <v>76.954082856666318</v>
      </c>
      <c r="U22" s="16">
        <f>2360-Z22</f>
        <v>2034.8</v>
      </c>
      <c r="V22" s="76">
        <f t="shared" si="53"/>
        <v>-4.9877750611246885E-3</v>
      </c>
      <c r="W22" s="5">
        <f t="shared" si="19"/>
        <v>2243.872500628931</v>
      </c>
      <c r="X22" s="11">
        <f t="shared" si="54"/>
        <v>107.42833007760942</v>
      </c>
      <c r="Y22" s="11">
        <f t="shared" si="55"/>
        <v>118.46642208061513</v>
      </c>
      <c r="Z22" s="71">
        <v>325.2</v>
      </c>
      <c r="AA22" s="118">
        <f t="shared" si="29"/>
        <v>-4.3529411764705928E-2</v>
      </c>
      <c r="AB22" s="11">
        <f t="shared" si="26"/>
        <v>358.61378867924532</v>
      </c>
      <c r="AC22" s="11">
        <f t="shared" ref="AC22:AC23" si="60">(Z22/4.826)</f>
        <v>67.384997927890595</v>
      </c>
      <c r="AD22" s="22">
        <f t="shared" ref="AD22:AD23" si="61">(AB22/4.826)</f>
        <v>74.308700513726762</v>
      </c>
      <c r="AF22" s="114">
        <v>234</v>
      </c>
      <c r="AG22" s="118">
        <f>(AF22/AF21)-1</f>
        <v>-0.25477707006369432</v>
      </c>
      <c r="AH22" s="11">
        <f>((AF22-(AF22*0.15))/C22)+(AF22*0.15)</f>
        <v>258.04313207547176</v>
      </c>
      <c r="AI22" s="11">
        <f>(AF22/4.826)</f>
        <v>48.487360132615002</v>
      </c>
      <c r="AJ22" s="22">
        <f>(AH22/4.826)</f>
        <v>53.469360148253578</v>
      </c>
      <c r="AK22">
        <v>2020</v>
      </c>
      <c r="AL22" s="204">
        <f t="shared" si="0"/>
        <v>1767.3103287090366</v>
      </c>
      <c r="AM22" s="204">
        <f t="shared" si="1"/>
        <v>642.09769452930664</v>
      </c>
      <c r="AN22" s="204">
        <f t="shared" si="2"/>
        <v>396.945934124639</v>
      </c>
      <c r="AO22" s="204">
        <f t="shared" si="3"/>
        <v>2010.7119280145575</v>
      </c>
      <c r="AP22" s="204">
        <f t="shared" si="56"/>
        <v>77.563254316034005</v>
      </c>
      <c r="AQ22" s="204">
        <f t="shared" si="57"/>
        <v>1913.5026725093712</v>
      </c>
      <c r="AR22" s="204">
        <f t="shared" si="58"/>
        <v>43.766301673618074</v>
      </c>
    </row>
    <row r="23" spans="1:44" x14ac:dyDescent="0.25">
      <c r="A23" s="30">
        <v>2021</v>
      </c>
      <c r="B23" s="5">
        <f>Sammanställning!B24</f>
        <v>2780</v>
      </c>
      <c r="C23" s="19">
        <f t="shared" si="15"/>
        <v>0.93592189428795869</v>
      </c>
      <c r="D23" s="16">
        <f>K23+P23+U23+Z23+AF23</f>
        <v>8026</v>
      </c>
      <c r="E23" s="76">
        <f t="shared" ref="E23:E24" si="62">(D23/D22)-1</f>
        <v>0.14070494599204086</v>
      </c>
      <c r="F23" s="5">
        <f t="shared" si="20"/>
        <v>8493.0766306954447</v>
      </c>
      <c r="G23" s="5">
        <f t="shared" si="16"/>
        <v>8026</v>
      </c>
      <c r="H23" s="11">
        <f>(D23/(Sammanställning!V24/1000))</f>
        <v>88.426739999383017</v>
      </c>
      <c r="I23" s="10">
        <v>58.6</v>
      </c>
      <c r="J23" s="11">
        <f t="shared" si="24"/>
        <v>5.9653940792978366</v>
      </c>
      <c r="K23" s="16">
        <v>3671</v>
      </c>
      <c r="L23" s="76">
        <f>(K23/K22)-1</f>
        <v>0.15840959293152412</v>
      </c>
      <c r="M23" s="5">
        <f t="shared" si="17"/>
        <v>3884.6354736211033</v>
      </c>
      <c r="N23" s="11">
        <f t="shared" ref="N23:N24" si="63">K23/41.01</f>
        <v>89.514752499390397</v>
      </c>
      <c r="O23" s="22">
        <f t="shared" ref="O23:O24" si="64">M23/41.01</f>
        <v>94.724103233872313</v>
      </c>
      <c r="P23" s="5">
        <v>1419</v>
      </c>
      <c r="Q23" s="76">
        <f t="shared" si="50"/>
        <v>0.11468970934799683</v>
      </c>
      <c r="R23" s="5">
        <f t="shared" si="18"/>
        <v>1554.6446600719423</v>
      </c>
      <c r="S23" s="11">
        <f t="shared" si="51"/>
        <v>75.115134190884561</v>
      </c>
      <c r="T23" s="11">
        <f t="shared" si="52"/>
        <v>82.295519563386932</v>
      </c>
      <c r="U23" s="16">
        <f>2591-Z23</f>
        <v>2236.8000000000002</v>
      </c>
      <c r="V23" s="76">
        <f t="shared" si="53"/>
        <v>9.9272655789266917E-2</v>
      </c>
      <c r="W23" s="5">
        <f t="shared" si="19"/>
        <v>2366.9715683453242</v>
      </c>
      <c r="X23" s="11">
        <f t="shared" si="54"/>
        <v>118.09302571141968</v>
      </c>
      <c r="Y23" s="11">
        <f t="shared" si="55"/>
        <v>124.96550173408608</v>
      </c>
      <c r="Z23" s="71">
        <v>354.2</v>
      </c>
      <c r="AA23" s="118">
        <f t="shared" si="29"/>
        <v>8.9175891758917603E-2</v>
      </c>
      <c r="AB23" s="11">
        <f t="shared" si="26"/>
        <v>374.81282613908871</v>
      </c>
      <c r="AC23" s="11">
        <f t="shared" si="60"/>
        <v>73.394115209283058</v>
      </c>
      <c r="AD23" s="22">
        <f t="shared" si="61"/>
        <v>77.665318304825689</v>
      </c>
      <c r="AF23" s="114">
        <v>345</v>
      </c>
      <c r="AG23" s="118">
        <f>(AF23/AF22)-1</f>
        <v>0.47435897435897445</v>
      </c>
      <c r="AH23" s="11">
        <f>((AF23-(AF23*0.15))/C23)+(AF23*0.15)</f>
        <v>365.07742805755396</v>
      </c>
      <c r="AI23" s="11">
        <f>(AF23/4.826)</f>
        <v>71.487774554496482</v>
      </c>
      <c r="AJ23" s="22">
        <f>(AH23/4.826)</f>
        <v>75.648037309895145</v>
      </c>
      <c r="AK23">
        <v>2021</v>
      </c>
      <c r="AL23" s="204">
        <f t="shared" si="0"/>
        <v>2015.9796330612178</v>
      </c>
      <c r="AM23" s="204">
        <f t="shared" si="1"/>
        <v>732.44401595966679</v>
      </c>
      <c r="AN23" s="204">
        <f t="shared" si="2"/>
        <v>452.7981903474066</v>
      </c>
      <c r="AO23" s="204">
        <f t="shared" si="3"/>
        <v>2293.6290412513981</v>
      </c>
      <c r="AP23" s="204">
        <f t="shared" si="56"/>
        <v>85.263164563645006</v>
      </c>
      <c r="AQ23" s="204">
        <f t="shared" si="57"/>
        <v>2103.4611646692365</v>
      </c>
      <c r="AR23" s="204">
        <f t="shared" si="58"/>
        <v>48.111098674832377</v>
      </c>
    </row>
    <row r="24" spans="1:44" x14ac:dyDescent="0.25">
      <c r="A24" s="30">
        <v>2022</v>
      </c>
      <c r="B24" s="5">
        <f>Sammanställning!B25</f>
        <v>2912</v>
      </c>
      <c r="C24" s="19">
        <f t="shared" si="15"/>
        <v>0.98036135113904155</v>
      </c>
      <c r="D24" s="16">
        <f>K24+P24+U24+Z24+AF24</f>
        <v>7328</v>
      </c>
      <c r="E24" s="76">
        <f t="shared" si="62"/>
        <v>-8.6967356092698678E-2</v>
      </c>
      <c r="F24" s="5">
        <f t="shared" si="20"/>
        <v>7452.7756410256416</v>
      </c>
      <c r="G24" s="5">
        <f t="shared" si="16"/>
        <v>7328</v>
      </c>
      <c r="H24" s="11">
        <f>(D24/(Sammanställning!V25/1000))</f>
        <v>80.7365002137402</v>
      </c>
      <c r="I24" s="10"/>
      <c r="J24" s="11"/>
      <c r="K24" s="16">
        <v>3337</v>
      </c>
      <c r="L24" s="76">
        <f>(K24/K23)-1</f>
        <v>-9.0983383274312213E-2</v>
      </c>
      <c r="M24" s="5">
        <f t="shared" si="17"/>
        <v>3393.8199118589746</v>
      </c>
      <c r="N24" s="11">
        <f t="shared" si="63"/>
        <v>81.370397464033161</v>
      </c>
      <c r="O24" s="22">
        <f t="shared" si="64"/>
        <v>82.755911042647526</v>
      </c>
      <c r="P24" s="5">
        <v>1335</v>
      </c>
      <c r="Q24" s="76">
        <f t="shared" si="50"/>
        <v>-5.9196617336152224E-2</v>
      </c>
      <c r="R24" s="5">
        <f t="shared" si="18"/>
        <v>1405.3923677884616</v>
      </c>
      <c r="S24" s="11">
        <f t="shared" si="51"/>
        <v>70.668572336033037</v>
      </c>
      <c r="T24" s="11">
        <f t="shared" si="52"/>
        <v>74.394810639376516</v>
      </c>
      <c r="U24" s="16">
        <f>2227-Z24</f>
        <v>1959.7</v>
      </c>
      <c r="V24" s="76">
        <f t="shared" ref="V24" si="65">(U24/U23)-1</f>
        <v>-0.12388233190271825</v>
      </c>
      <c r="W24" s="5">
        <f t="shared" ref="W24" si="66">((U24-(U24*0.15))/C24)+(U24*0.15)</f>
        <v>1993.0682892628206</v>
      </c>
      <c r="X24" s="11">
        <f t="shared" ref="X24" si="67">U24/18.941</f>
        <v>103.46338630484136</v>
      </c>
      <c r="Y24" s="11">
        <f t="shared" ref="Y24" si="68">W24/18.941</f>
        <v>105.22508258607364</v>
      </c>
      <c r="Z24" s="71">
        <v>267.3</v>
      </c>
      <c r="AA24" s="118">
        <f t="shared" ref="AA24" si="69">(Z24/Z23)-1</f>
        <v>-0.24534161490683226</v>
      </c>
      <c r="AB24" s="11">
        <f t="shared" ref="AB24" si="70">((Z24-(Z24*0.15))/C24)+(Z24*0.15)</f>
        <v>271.85138221153852</v>
      </c>
      <c r="AC24" s="11">
        <f t="shared" ref="AC24" si="71">(Z24/4.826)</f>
        <v>55.387484459179454</v>
      </c>
      <c r="AD24" s="22">
        <f t="shared" ref="AD24" si="72">(AB24/4.826)</f>
        <v>56.330580648889047</v>
      </c>
      <c r="AF24" s="114">
        <v>429</v>
      </c>
      <c r="AG24" s="118">
        <f>(AF24/AF23)-1</f>
        <v>0.24347826086956514</v>
      </c>
      <c r="AH24" s="11">
        <f>((AF24-(AF24*0.15))/C24)+(AF24*0.15)</f>
        <v>436.3046875</v>
      </c>
      <c r="AI24" s="11">
        <f>(AF24/4.826)</f>
        <v>88.893493576460841</v>
      </c>
      <c r="AJ24" s="22">
        <f>(AH24/4.826)</f>
        <v>90.407104745130553</v>
      </c>
      <c r="AK24">
        <v>2022</v>
      </c>
      <c r="AL24" s="204">
        <f t="shared" ref="AL24" si="73">D24*(15046/59901)</f>
        <v>1840.6552144371547</v>
      </c>
      <c r="AM24" s="204">
        <f t="shared" ref="AM24" si="74">D24*(5466.5/59901)</f>
        <v>668.7452964057361</v>
      </c>
      <c r="AN24" s="204">
        <f t="shared" ref="AN24" si="75">D24*(3379.4/59901)</f>
        <v>413.41952888933406</v>
      </c>
      <c r="AO24" s="204">
        <f t="shared" ref="AO24" si="76">D24*(17118.2/59901)</f>
        <v>2094.1581876763325</v>
      </c>
      <c r="AP24" s="204">
        <f t="shared" ref="AP24" si="77">U24*(722/18941)</f>
        <v>74.700564912095459</v>
      </c>
      <c r="AQ24" s="204">
        <f t="shared" ref="AQ24" si="78">U24*(17811.9/18941)</f>
        <v>1842.8794905232037</v>
      </c>
      <c r="AR24" s="204">
        <f t="shared" ref="AR24" si="79">U24*(407.4/18941)</f>
        <v>42.150983580592367</v>
      </c>
    </row>
    <row r="25" spans="1:44" x14ac:dyDescent="0.25">
      <c r="A25" s="30"/>
      <c r="B25" s="5"/>
      <c r="C25" s="19"/>
      <c r="D25" s="16"/>
      <c r="E25" s="76"/>
      <c r="F25" s="5"/>
      <c r="G25" s="5"/>
      <c r="H25" s="11"/>
      <c r="I25" s="10"/>
      <c r="J25" s="11"/>
      <c r="K25" s="16"/>
      <c r="L25" s="76"/>
      <c r="M25" s="5"/>
      <c r="N25" s="11"/>
      <c r="O25" s="22"/>
      <c r="P25" s="5"/>
      <c r="Q25" s="76"/>
      <c r="R25" s="5"/>
      <c r="S25" s="11"/>
      <c r="T25" s="11"/>
      <c r="U25" s="16"/>
      <c r="V25" s="76"/>
      <c r="W25" s="5"/>
      <c r="X25" s="11"/>
      <c r="Y25" s="11"/>
      <c r="Z25" s="71"/>
      <c r="AA25" s="118"/>
      <c r="AB25" s="11"/>
      <c r="AC25" s="11"/>
      <c r="AD25" s="22"/>
      <c r="AF25" s="114"/>
      <c r="AG25" s="118"/>
      <c r="AH25" s="11"/>
      <c r="AI25" s="11"/>
      <c r="AJ25" s="22"/>
      <c r="AL25" s="158"/>
      <c r="AM25" s="158"/>
      <c r="AN25" s="158"/>
      <c r="AO25" s="158"/>
      <c r="AP25" s="158"/>
      <c r="AQ25" s="158"/>
      <c r="AR25" s="158"/>
    </row>
    <row r="26" spans="1:44" ht="3" customHeight="1" x14ac:dyDescent="0.25">
      <c r="A26" s="31" t="s">
        <v>0</v>
      </c>
      <c r="B26" s="3"/>
      <c r="C26" s="18"/>
      <c r="D26" s="17"/>
      <c r="E26" s="1"/>
      <c r="F26" s="1"/>
      <c r="G26" s="1"/>
      <c r="H26" s="1"/>
      <c r="I26" s="28"/>
      <c r="J26" s="1"/>
      <c r="K26" s="17"/>
      <c r="L26" s="1"/>
      <c r="M26" s="1"/>
      <c r="N26" s="39"/>
      <c r="O26" s="40"/>
      <c r="P26" s="1"/>
      <c r="Q26" s="1"/>
      <c r="R26" s="1"/>
      <c r="S26" s="39"/>
      <c r="T26" s="39"/>
      <c r="U26" s="17"/>
      <c r="V26" s="1"/>
      <c r="W26" s="1"/>
      <c r="X26" s="39"/>
      <c r="Y26" s="39"/>
      <c r="Z26" s="151"/>
      <c r="AA26" s="28"/>
      <c r="AB26" s="28"/>
      <c r="AC26" s="150"/>
      <c r="AD26" s="152"/>
      <c r="AF26" s="151"/>
      <c r="AG26" s="28"/>
      <c r="AH26" s="28"/>
      <c r="AI26" s="150"/>
      <c r="AJ26" s="152"/>
    </row>
    <row r="27" spans="1:44" ht="15.75" thickBot="1" x14ac:dyDescent="0.3">
      <c r="A27" s="32" t="s">
        <v>17</v>
      </c>
      <c r="B27" s="25">
        <f>AVERAGE(B9:B23)</f>
        <v>2970.3333333333335</v>
      </c>
      <c r="C27" s="34">
        <f>AVERAGE(C9:C23)</f>
        <v>1</v>
      </c>
      <c r="D27" s="26">
        <f>AVERAGE(D5:D23)</f>
        <v>7640.5631578947377</v>
      </c>
      <c r="E27" s="227"/>
      <c r="F27" s="25">
        <f>AVERAGE(F5:F23)</f>
        <v>7523.3306720276896</v>
      </c>
      <c r="G27" s="25"/>
      <c r="H27" s="24">
        <f>AVERAGE(H5:H23)</f>
        <v>93.633185397949916</v>
      </c>
      <c r="I27" s="23">
        <f>AVERAGE(I5:I23)</f>
        <v>63.434545454545464</v>
      </c>
      <c r="J27" s="232">
        <f>AVERAGE(J5:J23)</f>
        <v>6.536169681134421</v>
      </c>
      <c r="K27" s="26">
        <f>AVERAGE(K5:K24)</f>
        <v>3711.63</v>
      </c>
      <c r="L27" s="227"/>
      <c r="M27" s="25">
        <f>AVERAGE(M5:M24)</f>
        <v>3661.2457251610299</v>
      </c>
      <c r="N27" s="37">
        <f>AVERAGE(N5:N24)</f>
        <v>90.505486466715439</v>
      </c>
      <c r="O27" s="38">
        <f>AVERAGE(O5:O24)</f>
        <v>89.276901369447202</v>
      </c>
      <c r="P27" s="23">
        <f>AVERAGE(P5:P24)</f>
        <v>1470.81</v>
      </c>
      <c r="Q27" s="228"/>
      <c r="R27" s="24">
        <f>AVERAGE(R5:R24)</f>
        <v>1556.2057624645927</v>
      </c>
      <c r="S27" s="37">
        <f>AVERAGE(S5:S24)</f>
        <v>77.85771002064476</v>
      </c>
      <c r="T27" s="37">
        <f>AVERAGE(T5:T24)</f>
        <v>82.378156924704498</v>
      </c>
      <c r="U27" s="127">
        <f>AVERAGE(U5:U23)</f>
        <v>2240.4105263157899</v>
      </c>
      <c r="V27" s="229"/>
      <c r="W27" s="24">
        <f>AVERAGE(W5:W23)</f>
        <v>2077.8590002027472</v>
      </c>
      <c r="X27" s="24">
        <f>AVERAGE(X5:X23)</f>
        <v>118.28364533634917</v>
      </c>
      <c r="Y27" s="24">
        <f>AVERAGE(Y5:Y23)</f>
        <v>109.70165251057215</v>
      </c>
      <c r="Z27" s="115">
        <f>AVERAGE(Z15:Z24)</f>
        <v>300.03999999999996</v>
      </c>
      <c r="AA27" s="230"/>
      <c r="AB27" s="116">
        <f>AVERAGE(AB15:AB21)</f>
        <v>301.51838040690353</v>
      </c>
      <c r="AC27" s="116">
        <f>AVERAGE(AC15:AC21)</f>
        <v>66.504562869490954</v>
      </c>
      <c r="AD27" s="117">
        <f>AVERAGE(AD15:AD21)</f>
        <v>67.589961283686378</v>
      </c>
      <c r="AF27" s="115">
        <f>AVERAGE(AF21:AF24)</f>
        <v>330.5</v>
      </c>
      <c r="AG27" s="231"/>
      <c r="AH27" s="116">
        <f>AVERAGE(AH21:AH23)</f>
        <v>317.71829361877286</v>
      </c>
      <c r="AI27" s="116">
        <f>AVERAGE(AI21:AI23)</f>
        <v>61.679790026246714</v>
      </c>
      <c r="AJ27" s="117">
        <f>AVERAGE(AJ21:AJ23)</f>
        <v>65.834706510313481</v>
      </c>
    </row>
    <row r="28" spans="1:44" x14ac:dyDescent="0.25">
      <c r="A28" s="2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44" x14ac:dyDescent="0.25">
      <c r="A29"/>
      <c r="B29" s="258"/>
      <c r="C29" s="258"/>
    </row>
    <row r="30" spans="1:44" x14ac:dyDescent="0.25">
      <c r="A30" s="20"/>
      <c r="B30" s="33"/>
    </row>
    <row r="32" spans="1:44" x14ac:dyDescent="0.25">
      <c r="AH32" s="145"/>
    </row>
    <row r="39" spans="3:24" x14ac:dyDescent="0.25">
      <c r="C39" s="42"/>
    </row>
    <row r="48" spans="3:24" x14ac:dyDescent="0.25">
      <c r="X48" s="14"/>
    </row>
    <row r="68" spans="1:18" x14ac:dyDescent="0.25">
      <c r="B68" t="s">
        <v>118</v>
      </c>
      <c r="C68" s="14" t="s">
        <v>121</v>
      </c>
      <c r="D68" s="14" t="s">
        <v>119</v>
      </c>
      <c r="J68" s="14" t="s">
        <v>44</v>
      </c>
      <c r="L68" s="14" t="s">
        <v>38</v>
      </c>
      <c r="N68" t="s">
        <v>109</v>
      </c>
      <c r="P68" t="s">
        <v>102</v>
      </c>
    </row>
    <row r="69" spans="1:18" x14ac:dyDescent="0.25">
      <c r="B69" s="14" t="s">
        <v>110</v>
      </c>
      <c r="C69" s="14" t="s">
        <v>122</v>
      </c>
      <c r="D69" s="14" t="s">
        <v>120</v>
      </c>
      <c r="E69" s="14"/>
      <c r="F69" s="14" t="s">
        <v>107</v>
      </c>
      <c r="G69" s="14"/>
      <c r="H69" s="14" t="s">
        <v>123</v>
      </c>
      <c r="I69" s="14" t="s">
        <v>44</v>
      </c>
      <c r="J69" s="14" t="s">
        <v>124</v>
      </c>
      <c r="K69" s="14" t="s">
        <v>108</v>
      </c>
      <c r="L69" s="14" t="s">
        <v>124</v>
      </c>
      <c r="M69" s="14" t="s">
        <v>109</v>
      </c>
      <c r="N69" s="14" t="s">
        <v>124</v>
      </c>
      <c r="O69" s="14" t="s">
        <v>102</v>
      </c>
      <c r="P69" s="14" t="s">
        <v>124</v>
      </c>
    </row>
    <row r="70" spans="1:18" x14ac:dyDescent="0.25">
      <c r="A70" s="14" t="s">
        <v>111</v>
      </c>
      <c r="B70" s="9">
        <f t="shared" ref="B70:B86" si="80">B9/$B$27</f>
        <v>0.88340253619122433</v>
      </c>
      <c r="C70" s="21">
        <f t="shared" ref="C70:C86" si="81">B70*D9</f>
        <v>6190.8849736280999</v>
      </c>
      <c r="D70" s="5">
        <f t="shared" ref="D70:D86" si="82">D9</f>
        <v>7008</v>
      </c>
      <c r="E70" s="145"/>
      <c r="F70" s="11">
        <f t="shared" ref="F70:F86" si="83">((K9-H70)/B70)+H70</f>
        <v>4189.6150978150408</v>
      </c>
      <c r="G70" s="11"/>
      <c r="H70" s="14">
        <f t="shared" ref="H70:H86" si="84">K9*0.15</f>
        <v>565.04999999999995</v>
      </c>
      <c r="I70" s="11">
        <f t="shared" ref="I70:I86" si="85">((P9-J70)/B70)+J70</f>
        <v>1482.5476308434959</v>
      </c>
      <c r="J70" s="14">
        <f t="shared" ref="J70:J86" si="86">P9*0.15</f>
        <v>199.95</v>
      </c>
      <c r="K70" s="11">
        <f t="shared" ref="K70:K86" si="87">((U9-L70)/B70)+L70</f>
        <v>2122.0561737804878</v>
      </c>
      <c r="L70" s="14">
        <f t="shared" ref="L70:L86" si="88">U9*0.15</f>
        <v>286.2</v>
      </c>
      <c r="M70" s="11"/>
      <c r="O70" s="11"/>
      <c r="R70" s="239"/>
    </row>
    <row r="71" spans="1:18" x14ac:dyDescent="0.25">
      <c r="A71" s="14" t="s">
        <v>111</v>
      </c>
      <c r="B71" s="9">
        <f t="shared" si="80"/>
        <v>0.92110874200426429</v>
      </c>
      <c r="C71" s="21">
        <f t="shared" si="81"/>
        <v>5869.3049040511723</v>
      </c>
      <c r="D71" s="5">
        <f t="shared" si="82"/>
        <v>6372</v>
      </c>
      <c r="E71" s="145"/>
      <c r="F71" s="11">
        <f t="shared" si="83"/>
        <v>3469.4381944444449</v>
      </c>
      <c r="G71" s="11"/>
      <c r="H71" s="14">
        <f t="shared" si="84"/>
        <v>485.09999999999997</v>
      </c>
      <c r="I71" s="11">
        <f t="shared" si="85"/>
        <v>1405.369212962963</v>
      </c>
      <c r="J71" s="14">
        <f t="shared" si="86"/>
        <v>196.5</v>
      </c>
      <c r="K71" s="11">
        <f t="shared" si="87"/>
        <v>1961.0800925925928</v>
      </c>
      <c r="L71" s="14">
        <f t="shared" si="88"/>
        <v>274.2</v>
      </c>
      <c r="M71" s="11"/>
      <c r="O71" s="11"/>
      <c r="R71" s="239"/>
    </row>
    <row r="72" spans="1:18" x14ac:dyDescent="0.25">
      <c r="A72" s="14" t="s">
        <v>111</v>
      </c>
      <c r="B72" s="9">
        <f t="shared" si="80"/>
        <v>0.95443833464257655</v>
      </c>
      <c r="C72" s="21">
        <f t="shared" si="81"/>
        <v>6862.4116260801256</v>
      </c>
      <c r="D72" s="5">
        <f t="shared" si="82"/>
        <v>7190</v>
      </c>
      <c r="E72" s="145"/>
      <c r="F72" s="11">
        <f t="shared" si="83"/>
        <v>3930.2560493827159</v>
      </c>
      <c r="G72" s="11"/>
      <c r="H72" s="14">
        <f t="shared" si="84"/>
        <v>566.54999999999995</v>
      </c>
      <c r="I72" s="11">
        <f t="shared" si="85"/>
        <v>1588.9597530864198</v>
      </c>
      <c r="J72" s="14">
        <f t="shared" si="86"/>
        <v>229.04999999999998</v>
      </c>
      <c r="K72" s="11">
        <f t="shared" si="87"/>
        <v>1962.5265843621401</v>
      </c>
      <c r="L72" s="14">
        <f t="shared" si="88"/>
        <v>282.89999999999998</v>
      </c>
      <c r="M72" s="11"/>
      <c r="O72" s="11"/>
      <c r="R72" s="239"/>
    </row>
    <row r="73" spans="1:18" x14ac:dyDescent="0.25">
      <c r="A73" s="14" t="s">
        <v>112</v>
      </c>
      <c r="B73" s="9">
        <f t="shared" si="80"/>
        <v>1.315003927729772</v>
      </c>
      <c r="C73" s="21">
        <f t="shared" si="81"/>
        <v>12142.746268656714</v>
      </c>
      <c r="D73" s="5">
        <f t="shared" si="82"/>
        <v>9234</v>
      </c>
      <c r="E73" s="145"/>
      <c r="F73" s="11">
        <f t="shared" si="83"/>
        <v>3953.2596176821985</v>
      </c>
      <c r="G73" s="11"/>
      <c r="H73" s="14">
        <f t="shared" si="84"/>
        <v>744.6</v>
      </c>
      <c r="I73" s="11">
        <f t="shared" si="85"/>
        <v>1412.7885902031064</v>
      </c>
      <c r="J73" s="14">
        <f t="shared" si="86"/>
        <v>266.09999999999997</v>
      </c>
      <c r="K73" s="11">
        <f t="shared" si="87"/>
        <v>1987.7792114695339</v>
      </c>
      <c r="L73" s="14">
        <f t="shared" si="88"/>
        <v>374.4</v>
      </c>
      <c r="M73" s="11"/>
      <c r="O73" s="11"/>
      <c r="R73" s="239"/>
    </row>
    <row r="74" spans="1:18" x14ac:dyDescent="0.25">
      <c r="A74" s="14" t="s">
        <v>112</v>
      </c>
      <c r="B74" s="9">
        <f t="shared" si="80"/>
        <v>1.1066098081023454</v>
      </c>
      <c r="C74" s="21">
        <f t="shared" si="81"/>
        <v>7694.2579957356074</v>
      </c>
      <c r="D74" s="5">
        <f t="shared" si="82"/>
        <v>6953</v>
      </c>
      <c r="E74" s="145"/>
      <c r="F74" s="11">
        <f t="shared" si="83"/>
        <v>3268.4778420038533</v>
      </c>
      <c r="G74" s="11"/>
      <c r="H74" s="14">
        <f t="shared" si="84"/>
        <v>534</v>
      </c>
      <c r="I74" s="11">
        <f t="shared" si="85"/>
        <v>1319.3265895953757</v>
      </c>
      <c r="J74" s="14">
        <f t="shared" si="86"/>
        <v>215.54999999999998</v>
      </c>
      <c r="K74" s="11">
        <f t="shared" si="87"/>
        <v>1795.8265895953755</v>
      </c>
      <c r="L74" s="14">
        <f t="shared" si="88"/>
        <v>293.39999999999998</v>
      </c>
      <c r="M74" s="11"/>
      <c r="O74" s="11"/>
      <c r="R74" s="239"/>
    </row>
    <row r="75" spans="1:18" x14ac:dyDescent="0.25">
      <c r="A75" s="14" t="s">
        <v>112</v>
      </c>
      <c r="B75" s="9">
        <f t="shared" si="80"/>
        <v>1.098866569408596</v>
      </c>
      <c r="C75" s="21">
        <f t="shared" si="81"/>
        <v>8051.3953540567827</v>
      </c>
      <c r="D75" s="5">
        <f t="shared" si="82"/>
        <v>7327</v>
      </c>
      <c r="E75" s="145"/>
      <c r="F75" s="11">
        <f t="shared" si="83"/>
        <v>3224.9468750000005</v>
      </c>
      <c r="G75" s="11"/>
      <c r="H75" s="14">
        <f t="shared" si="84"/>
        <v>523.79999999999995</v>
      </c>
      <c r="I75" s="11">
        <f t="shared" si="85"/>
        <v>1527.5092013888891</v>
      </c>
      <c r="J75" s="14">
        <f t="shared" si="86"/>
        <v>248.1</v>
      </c>
      <c r="K75" s="11">
        <f t="shared" si="87"/>
        <v>2014.2065104166668</v>
      </c>
      <c r="L75" s="14">
        <f t="shared" si="88"/>
        <v>327.14999999999998</v>
      </c>
      <c r="M75" s="11"/>
      <c r="O75" s="11"/>
      <c r="R75" s="239"/>
    </row>
    <row r="76" spans="1:18" x14ac:dyDescent="0.25">
      <c r="A76" s="14" t="s">
        <v>112</v>
      </c>
      <c r="B76" s="9">
        <f t="shared" si="80"/>
        <v>1.140949388396364</v>
      </c>
      <c r="C76" s="21">
        <f t="shared" si="81"/>
        <v>8514.9052856020644</v>
      </c>
      <c r="D76" s="5">
        <f t="shared" si="82"/>
        <v>7463</v>
      </c>
      <c r="E76" s="145"/>
      <c r="F76" s="11">
        <f t="shared" si="83"/>
        <v>3177.2273040228192</v>
      </c>
      <c r="G76" s="11"/>
      <c r="H76" s="14">
        <f t="shared" si="84"/>
        <v>532.5</v>
      </c>
      <c r="I76" s="11">
        <f t="shared" si="85"/>
        <v>1502.6942657617783</v>
      </c>
      <c r="J76" s="14">
        <f t="shared" si="86"/>
        <v>251.85</v>
      </c>
      <c r="K76" s="11">
        <f t="shared" si="87"/>
        <v>1906.425881774368</v>
      </c>
      <c r="L76" s="14">
        <f t="shared" si="88"/>
        <v>319.51499999999999</v>
      </c>
      <c r="M76" s="11"/>
      <c r="O76" s="11"/>
      <c r="R76" s="239"/>
    </row>
    <row r="77" spans="1:18" x14ac:dyDescent="0.25">
      <c r="A77" s="14" t="s">
        <v>111</v>
      </c>
      <c r="B77" s="9">
        <f t="shared" si="80"/>
        <v>0.91134552799910218</v>
      </c>
      <c r="C77" s="21">
        <f t="shared" si="81"/>
        <v>6586.294130849511</v>
      </c>
      <c r="D77" s="5">
        <f t="shared" si="82"/>
        <v>7227</v>
      </c>
      <c r="E77" s="145"/>
      <c r="F77" s="11">
        <f t="shared" si="83"/>
        <v>3660.5642777983007</v>
      </c>
      <c r="G77" s="11"/>
      <c r="H77" s="14">
        <f t="shared" si="84"/>
        <v>507.15</v>
      </c>
      <c r="I77" s="11">
        <f t="shared" si="85"/>
        <v>1764.7795837950991</v>
      </c>
      <c r="J77" s="14">
        <f t="shared" si="86"/>
        <v>244.5</v>
      </c>
      <c r="K77" s="11">
        <f t="shared" si="87"/>
        <v>2121.7414419406482</v>
      </c>
      <c r="L77" s="14">
        <f t="shared" si="88"/>
        <v>293.95499999999998</v>
      </c>
      <c r="M77" s="11">
        <f t="shared" ref="M77:M86" si="89">((Z16-N77)/B77)+N77</f>
        <v>277.49264253170799</v>
      </c>
      <c r="N77" s="14">
        <f>Z16*0.15</f>
        <v>38.445</v>
      </c>
      <c r="O77" s="11"/>
      <c r="R77" s="239"/>
    </row>
    <row r="78" spans="1:18" x14ac:dyDescent="0.25">
      <c r="A78" s="14" t="s">
        <v>111</v>
      </c>
      <c r="B78" s="9">
        <f t="shared" si="80"/>
        <v>0.9130288407586129</v>
      </c>
      <c r="C78" s="21">
        <f t="shared" si="81"/>
        <v>7260.4053417124896</v>
      </c>
      <c r="D78" s="5">
        <f t="shared" si="82"/>
        <v>7952</v>
      </c>
      <c r="E78" s="145"/>
      <c r="F78" s="11">
        <f t="shared" si="83"/>
        <v>4100.1089909046223</v>
      </c>
      <c r="G78" s="11"/>
      <c r="H78" s="14">
        <f t="shared" si="84"/>
        <v>568.94999999999993</v>
      </c>
      <c r="I78" s="11">
        <f t="shared" si="85"/>
        <v>1931.68857546706</v>
      </c>
      <c r="J78" s="14">
        <f t="shared" si="86"/>
        <v>268.05</v>
      </c>
      <c r="K78" s="11">
        <f t="shared" si="87"/>
        <v>2234.5756145526057</v>
      </c>
      <c r="L78" s="14">
        <f t="shared" si="88"/>
        <v>310.08</v>
      </c>
      <c r="M78" s="11">
        <f t="shared" si="89"/>
        <v>329.47883480825965</v>
      </c>
      <c r="N78" s="14">
        <f t="shared" ref="N78:N84" si="90">Z17*0.15</f>
        <v>45.72</v>
      </c>
      <c r="O78" s="11"/>
      <c r="R78" s="239"/>
    </row>
    <row r="79" spans="1:18" x14ac:dyDescent="0.25">
      <c r="A79" s="14" t="s">
        <v>111</v>
      </c>
      <c r="B79" s="9">
        <f t="shared" si="80"/>
        <v>0.99315452811132299</v>
      </c>
      <c r="C79" s="21">
        <f t="shared" si="81"/>
        <v>8068.3873863763883</v>
      </c>
      <c r="D79" s="5">
        <f t="shared" si="82"/>
        <v>8124</v>
      </c>
      <c r="E79" s="145"/>
      <c r="F79" s="11">
        <f t="shared" si="83"/>
        <v>4017.399875706215</v>
      </c>
      <c r="G79" s="11"/>
      <c r="H79" s="14">
        <f t="shared" si="84"/>
        <v>599.1</v>
      </c>
      <c r="I79" s="11">
        <f t="shared" si="85"/>
        <v>1633.5146214689266</v>
      </c>
      <c r="J79" s="14">
        <f t="shared" si="86"/>
        <v>243.6</v>
      </c>
      <c r="K79" s="11">
        <f t="shared" si="87"/>
        <v>2177.5836231638418</v>
      </c>
      <c r="L79" s="14">
        <f t="shared" si="88"/>
        <v>324.73500000000001</v>
      </c>
      <c r="M79" s="11">
        <f t="shared" si="89"/>
        <v>343.09842203389837</v>
      </c>
      <c r="N79" s="14">
        <f t="shared" si="90"/>
        <v>51.164999999999999</v>
      </c>
      <c r="O79" s="11"/>
      <c r="R79" s="239"/>
    </row>
    <row r="80" spans="1:18" x14ac:dyDescent="0.25">
      <c r="A80" s="14" t="s">
        <v>111</v>
      </c>
      <c r="B80" s="9">
        <f t="shared" si="80"/>
        <v>0.97901470093143306</v>
      </c>
      <c r="C80" s="21">
        <f t="shared" si="81"/>
        <v>7072.4021995286721</v>
      </c>
      <c r="D80" s="5">
        <f t="shared" si="82"/>
        <v>7224</v>
      </c>
      <c r="E80" s="145"/>
      <c r="F80" s="11">
        <f t="shared" si="83"/>
        <v>3651.3363938560292</v>
      </c>
      <c r="G80" s="11"/>
      <c r="H80" s="14">
        <f t="shared" si="84"/>
        <v>537.9</v>
      </c>
      <c r="I80" s="11">
        <f t="shared" si="85"/>
        <v>1333.8680077945896</v>
      </c>
      <c r="J80" s="14">
        <f t="shared" si="86"/>
        <v>196.5</v>
      </c>
      <c r="K80" s="11">
        <f t="shared" si="87"/>
        <v>2023.6101364053188</v>
      </c>
      <c r="L80" s="14">
        <f t="shared" si="88"/>
        <v>298.11</v>
      </c>
      <c r="M80" s="11">
        <f t="shared" si="89"/>
        <v>346.80568202659333</v>
      </c>
      <c r="N80" s="14">
        <f t="shared" si="90"/>
        <v>51.09</v>
      </c>
      <c r="O80" s="11"/>
      <c r="R80" s="239"/>
    </row>
    <row r="81" spans="1:18" x14ac:dyDescent="0.25">
      <c r="A81" s="14" t="s">
        <v>111</v>
      </c>
      <c r="B81" s="9">
        <f t="shared" si="80"/>
        <v>1.0116709684659408</v>
      </c>
      <c r="C81" s="21">
        <f t="shared" si="81"/>
        <v>7557.182134440578</v>
      </c>
      <c r="D81" s="5">
        <f t="shared" si="82"/>
        <v>7470</v>
      </c>
      <c r="E81" s="145"/>
      <c r="F81" s="11">
        <f t="shared" si="83"/>
        <v>3563.7086411536334</v>
      </c>
      <c r="G81" s="11"/>
      <c r="H81" s="14">
        <f t="shared" si="84"/>
        <v>539.85</v>
      </c>
      <c r="I81" s="11">
        <f t="shared" si="85"/>
        <v>1369.4384692179701</v>
      </c>
      <c r="J81" s="14">
        <f t="shared" si="86"/>
        <v>207.45</v>
      </c>
      <c r="K81" s="11">
        <f t="shared" si="87"/>
        <v>2100.2017304492515</v>
      </c>
      <c r="L81" s="14">
        <f t="shared" si="88"/>
        <v>318.14999999999998</v>
      </c>
      <c r="M81" s="11">
        <f t="shared" si="89"/>
        <v>363.40124237382145</v>
      </c>
      <c r="N81" s="14">
        <f t="shared" si="90"/>
        <v>55.05</v>
      </c>
      <c r="O81" s="11"/>
      <c r="R81" s="239"/>
    </row>
    <row r="82" spans="1:18" x14ac:dyDescent="0.25">
      <c r="A82" s="14" t="s">
        <v>111</v>
      </c>
      <c r="B82" s="9">
        <f t="shared" si="80"/>
        <v>0.94332847042980583</v>
      </c>
      <c r="C82" s="21">
        <f t="shared" si="81"/>
        <v>7142.5058467063182</v>
      </c>
      <c r="D82" s="5">
        <f t="shared" si="82"/>
        <v>7571.6</v>
      </c>
      <c r="E82" s="145"/>
      <c r="F82" s="11">
        <f t="shared" si="83"/>
        <v>3600.5272900309301</v>
      </c>
      <c r="G82" s="11"/>
      <c r="H82" s="14">
        <f t="shared" si="84"/>
        <v>513.83999999999992</v>
      </c>
      <c r="I82" s="11">
        <f t="shared" si="85"/>
        <v>1520.8906435879135</v>
      </c>
      <c r="J82" s="14">
        <f t="shared" si="86"/>
        <v>217.04999999999998</v>
      </c>
      <c r="K82" s="11">
        <f t="shared" si="87"/>
        <v>2149.4273435641207</v>
      </c>
      <c r="L82" s="14">
        <f t="shared" si="88"/>
        <v>306.75</v>
      </c>
      <c r="M82" s="11">
        <f t="shared" si="89"/>
        <v>357.36200333095411</v>
      </c>
      <c r="N82" s="14">
        <f t="shared" si="90"/>
        <v>51</v>
      </c>
      <c r="O82" s="11">
        <f>((AF21-P82)/B82)+P82</f>
        <v>330.03432072329286</v>
      </c>
      <c r="P82" s="14">
        <f>AF21*0.15</f>
        <v>47.1</v>
      </c>
      <c r="R82" s="239"/>
    </row>
    <row r="83" spans="1:18" x14ac:dyDescent="0.25">
      <c r="A83" s="14" t="s">
        <v>111</v>
      </c>
      <c r="B83" s="9">
        <f t="shared" si="80"/>
        <v>0.89215576254067996</v>
      </c>
      <c r="C83" s="21">
        <f t="shared" si="81"/>
        <v>6277.2079452362241</v>
      </c>
      <c r="D83" s="5">
        <f t="shared" si="82"/>
        <v>7036</v>
      </c>
      <c r="E83" s="145"/>
      <c r="F83" s="11">
        <f t="shared" si="83"/>
        <v>3494.609767295598</v>
      </c>
      <c r="G83" s="11"/>
      <c r="H83" s="14">
        <f t="shared" si="84"/>
        <v>475.34999999999997</v>
      </c>
      <c r="I83" s="11">
        <f t="shared" si="85"/>
        <v>1403.798748427673</v>
      </c>
      <c r="J83" s="14">
        <f t="shared" si="86"/>
        <v>190.95</v>
      </c>
      <c r="K83" s="11">
        <f t="shared" si="87"/>
        <v>2243.872500628931</v>
      </c>
      <c r="L83" s="14">
        <f t="shared" si="88"/>
        <v>305.21999999999997</v>
      </c>
      <c r="M83" s="11">
        <f t="shared" si="89"/>
        <v>358.61378867924532</v>
      </c>
      <c r="N83" s="14">
        <f t="shared" si="90"/>
        <v>48.779999999999994</v>
      </c>
      <c r="O83" s="11">
        <f>((AF22-P83)/B83)+P83</f>
        <v>258.04313207547176</v>
      </c>
      <c r="P83" s="14">
        <f t="shared" ref="P83:P84" si="91">AF22*0.15</f>
        <v>35.1</v>
      </c>
      <c r="R83" s="239"/>
    </row>
    <row r="84" spans="1:18" x14ac:dyDescent="0.25">
      <c r="A84" s="14" t="s">
        <v>111</v>
      </c>
      <c r="B84" s="9">
        <f t="shared" si="80"/>
        <v>0.93592189428795869</v>
      </c>
      <c r="C84" s="21">
        <f t="shared" si="81"/>
        <v>7511.7091235551561</v>
      </c>
      <c r="D84" s="5">
        <f t="shared" si="82"/>
        <v>8026</v>
      </c>
      <c r="F84" s="11">
        <f t="shared" si="83"/>
        <v>3884.6354736211033</v>
      </c>
      <c r="G84" s="11"/>
      <c r="H84" s="14">
        <f t="shared" si="84"/>
        <v>550.65</v>
      </c>
      <c r="I84" s="11">
        <f t="shared" si="85"/>
        <v>1501.5793345323741</v>
      </c>
      <c r="J84" s="14">
        <f t="shared" si="86"/>
        <v>212.85</v>
      </c>
      <c r="K84" s="11">
        <f t="shared" si="87"/>
        <v>2366.9715683453242</v>
      </c>
      <c r="L84" s="14">
        <f t="shared" si="88"/>
        <v>335.52000000000004</v>
      </c>
      <c r="M84" s="11">
        <f t="shared" si="89"/>
        <v>374.81282613908871</v>
      </c>
      <c r="N84" s="14">
        <f t="shared" si="90"/>
        <v>53.129999999999995</v>
      </c>
      <c r="O84" s="11">
        <f>((AF23-P84)/B84)+P84</f>
        <v>365.07742805755396</v>
      </c>
      <c r="P84" s="14">
        <f t="shared" si="91"/>
        <v>51.75</v>
      </c>
      <c r="R84" s="239"/>
    </row>
    <row r="85" spans="1:18" x14ac:dyDescent="0.25">
      <c r="A85" s="14" t="s">
        <v>111</v>
      </c>
      <c r="B85" s="9">
        <f t="shared" si="80"/>
        <v>0.98036135113904155</v>
      </c>
      <c r="C85" s="21">
        <f t="shared" si="81"/>
        <v>7184.0879811468967</v>
      </c>
      <c r="D85" s="5">
        <f t="shared" si="82"/>
        <v>7328</v>
      </c>
      <c r="F85" s="11">
        <f t="shared" si="83"/>
        <v>3393.8199118589746</v>
      </c>
      <c r="G85" s="11"/>
      <c r="H85" s="14">
        <f t="shared" si="84"/>
        <v>500.54999999999995</v>
      </c>
      <c r="I85" s="11">
        <f t="shared" si="85"/>
        <v>1357.7313701923078</v>
      </c>
      <c r="J85" s="14">
        <f t="shared" si="86"/>
        <v>200.25</v>
      </c>
      <c r="K85" s="11">
        <f t="shared" si="87"/>
        <v>1993.0682892628206</v>
      </c>
      <c r="L85" s="14">
        <f t="shared" si="88"/>
        <v>293.95499999999998</v>
      </c>
      <c r="M85" s="11">
        <f t="shared" si="89"/>
        <v>271.85138221153852</v>
      </c>
      <c r="N85" s="14">
        <f t="shared" ref="N85:N86" si="92">Z24*0.15</f>
        <v>40.094999999999999</v>
      </c>
      <c r="O85" s="11">
        <f>((AF24-P85)/B85)+P85</f>
        <v>436.3046875</v>
      </c>
      <c r="P85" s="14">
        <f t="shared" ref="P85:P86" si="93">AF24*0.15</f>
        <v>64.349999999999994</v>
      </c>
    </row>
    <row r="86" spans="1:18" x14ac:dyDescent="0.25">
      <c r="B86" s="9">
        <f t="shared" si="80"/>
        <v>0</v>
      </c>
      <c r="C86" s="21">
        <f t="shared" si="81"/>
        <v>0</v>
      </c>
      <c r="D86" s="5">
        <f t="shared" si="82"/>
        <v>0</v>
      </c>
      <c r="F86" s="11" t="e">
        <f t="shared" si="83"/>
        <v>#DIV/0!</v>
      </c>
      <c r="G86" s="11"/>
      <c r="H86" s="14">
        <f t="shared" si="84"/>
        <v>0</v>
      </c>
      <c r="I86" s="11" t="e">
        <f t="shared" si="85"/>
        <v>#DIV/0!</v>
      </c>
      <c r="J86" s="14">
        <f t="shared" si="86"/>
        <v>0</v>
      </c>
      <c r="K86" s="11" t="e">
        <f t="shared" si="87"/>
        <v>#DIV/0!</v>
      </c>
      <c r="L86" s="14">
        <f t="shared" si="88"/>
        <v>0</v>
      </c>
      <c r="M86" s="11" t="e">
        <f t="shared" si="89"/>
        <v>#DIV/0!</v>
      </c>
      <c r="N86" s="14">
        <f t="shared" si="92"/>
        <v>0</v>
      </c>
      <c r="O86" s="11" t="e">
        <f>((AF25-P86)/B86)+P86</f>
        <v>#DIV/0!</v>
      </c>
      <c r="P86" s="14">
        <f t="shared" si="93"/>
        <v>0</v>
      </c>
    </row>
  </sheetData>
  <mergeCells count="18">
    <mergeCell ref="A1:A2"/>
    <mergeCell ref="B1:C1"/>
    <mergeCell ref="B2:C2"/>
    <mergeCell ref="D3:F3"/>
    <mergeCell ref="I3:J3"/>
    <mergeCell ref="AF3:AH3"/>
    <mergeCell ref="AI3:AJ3"/>
    <mergeCell ref="AL1:AR3"/>
    <mergeCell ref="B29:C29"/>
    <mergeCell ref="K3:M3"/>
    <mergeCell ref="N3:O3"/>
    <mergeCell ref="P3:R3"/>
    <mergeCell ref="S3:T3"/>
    <mergeCell ref="Z3:AB3"/>
    <mergeCell ref="AC3:AD3"/>
    <mergeCell ref="D1:AD2"/>
    <mergeCell ref="U3:W3"/>
    <mergeCell ref="X3:Y3"/>
  </mergeCells>
  <conditionalFormatting sqref="E6:E25">
    <cfRule type="cellIs" dxfId="39" priority="23" operator="lessThan">
      <formula>0</formula>
    </cfRule>
    <cfRule type="cellIs" dxfId="38" priority="24" operator="greaterThan">
      <formula>0</formula>
    </cfRule>
  </conditionalFormatting>
  <conditionalFormatting sqref="L6:L25">
    <cfRule type="cellIs" dxfId="37" priority="21" operator="lessThan">
      <formula>0</formula>
    </cfRule>
    <cfRule type="cellIs" dxfId="36" priority="22" operator="greaterThan">
      <formula>0</formula>
    </cfRule>
  </conditionalFormatting>
  <conditionalFormatting sqref="Q6:Q25">
    <cfRule type="cellIs" dxfId="35" priority="19" operator="lessThan">
      <formula>0</formula>
    </cfRule>
    <cfRule type="cellIs" dxfId="34" priority="20" operator="greaterThan">
      <formula>0</formula>
    </cfRule>
  </conditionalFormatting>
  <conditionalFormatting sqref="V6:V25">
    <cfRule type="cellIs" dxfId="33" priority="17" operator="lessThan">
      <formula>0</formula>
    </cfRule>
    <cfRule type="cellIs" dxfId="32" priority="18" operator="greaterThan">
      <formula>0</formula>
    </cfRule>
  </conditionalFormatting>
  <conditionalFormatting sqref="AA15:AA25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AG21:AG25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25" right="0.25" top="0.75" bottom="0.75" header="0.3" footer="0.3"/>
  <pageSetup paperSize="8" scale="59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39"/>
  <sheetViews>
    <sheetView topLeftCell="A9" workbookViewId="0">
      <selection activeCell="D24" sqref="D24"/>
    </sheetView>
  </sheetViews>
  <sheetFormatPr defaultRowHeight="15" x14ac:dyDescent="0.25"/>
  <cols>
    <col min="1" max="1" width="6.85546875" style="14" customWidth="1"/>
    <col min="2" max="2" width="10" customWidth="1"/>
    <col min="3" max="3" width="10.42578125" customWidth="1"/>
    <col min="4" max="4" width="10.7109375" customWidth="1"/>
    <col min="5" max="5" width="8.85546875" customWidth="1"/>
    <col min="6" max="6" width="12.42578125" customWidth="1"/>
    <col min="7" max="23" width="10.7109375" customWidth="1"/>
    <col min="29" max="31" width="11.5703125" bestFit="1" customWidth="1"/>
  </cols>
  <sheetData>
    <row r="1" spans="1:32" ht="43.5" customHeight="1" x14ac:dyDescent="0.25">
      <c r="A1" s="247"/>
      <c r="B1" s="270" t="s">
        <v>1</v>
      </c>
      <c r="C1" s="282"/>
      <c r="D1" s="284" t="s">
        <v>19</v>
      </c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Y1" s="287" t="s">
        <v>96</v>
      </c>
      <c r="Z1" s="287"/>
      <c r="AA1" s="287"/>
      <c r="AB1" s="287"/>
      <c r="AC1" s="287"/>
      <c r="AD1" s="287"/>
      <c r="AE1" s="287"/>
      <c r="AF1" s="287"/>
    </row>
    <row r="2" spans="1:32" ht="15" customHeight="1" thickBot="1" x14ac:dyDescent="0.3">
      <c r="A2" s="248"/>
      <c r="B2" s="268">
        <v>3861</v>
      </c>
      <c r="C2" s="283"/>
      <c r="D2" s="284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Y2" s="287"/>
      <c r="Z2" s="287"/>
      <c r="AA2" s="287"/>
      <c r="AB2" s="287"/>
      <c r="AC2" s="287"/>
      <c r="AD2" s="287"/>
      <c r="AE2" s="287"/>
      <c r="AF2" s="287"/>
    </row>
    <row r="3" spans="1:32" s="46" customFormat="1" ht="15" customHeight="1" x14ac:dyDescent="0.2">
      <c r="A3" s="45"/>
      <c r="B3" s="68"/>
      <c r="C3" s="69"/>
      <c r="D3" s="290" t="s">
        <v>15</v>
      </c>
      <c r="E3" s="291"/>
      <c r="F3" s="196" t="s">
        <v>106</v>
      </c>
      <c r="G3" s="291" t="s">
        <v>23</v>
      </c>
      <c r="H3" s="292"/>
      <c r="I3" s="293" t="s">
        <v>105</v>
      </c>
      <c r="J3" s="260"/>
      <c r="K3" s="294"/>
      <c r="L3" s="293" t="s">
        <v>13</v>
      </c>
      <c r="M3" s="260"/>
      <c r="N3" s="294"/>
      <c r="O3" s="293" t="s">
        <v>8</v>
      </c>
      <c r="P3" s="260"/>
      <c r="Q3" s="294"/>
      <c r="R3" s="295" t="s">
        <v>50</v>
      </c>
      <c r="S3" s="296"/>
      <c r="T3" s="297"/>
      <c r="U3" s="293" t="s">
        <v>104</v>
      </c>
      <c r="V3" s="260"/>
      <c r="W3" s="261"/>
      <c r="Y3" s="287"/>
      <c r="Z3" s="287"/>
      <c r="AA3" s="287"/>
      <c r="AB3" s="287"/>
      <c r="AC3" s="287"/>
      <c r="AD3" s="287"/>
      <c r="AE3" s="287"/>
      <c r="AF3" s="287"/>
    </row>
    <row r="4" spans="1:32" s="46" customFormat="1" ht="38.25" x14ac:dyDescent="0.2">
      <c r="A4" s="47" t="s">
        <v>16</v>
      </c>
      <c r="B4" s="50" t="s">
        <v>45</v>
      </c>
      <c r="C4" s="49" t="s">
        <v>46</v>
      </c>
      <c r="D4" s="50" t="s">
        <v>3</v>
      </c>
      <c r="E4" s="48" t="s">
        <v>71</v>
      </c>
      <c r="F4" s="48" t="s">
        <v>54</v>
      </c>
      <c r="G4" s="48" t="s">
        <v>24</v>
      </c>
      <c r="H4" s="52" t="s">
        <v>25</v>
      </c>
      <c r="I4" s="48" t="s">
        <v>3</v>
      </c>
      <c r="J4" s="48" t="s">
        <v>71</v>
      </c>
      <c r="K4" s="48" t="s">
        <v>54</v>
      </c>
      <c r="L4" s="51" t="s">
        <v>3</v>
      </c>
      <c r="M4" s="48" t="s">
        <v>71</v>
      </c>
      <c r="N4" s="48" t="s">
        <v>54</v>
      </c>
      <c r="O4" s="51" t="s">
        <v>3</v>
      </c>
      <c r="P4" s="48" t="s">
        <v>71</v>
      </c>
      <c r="Q4" s="48" t="s">
        <v>54</v>
      </c>
      <c r="R4" s="190" t="s">
        <v>3</v>
      </c>
      <c r="S4" s="191" t="s">
        <v>71</v>
      </c>
      <c r="T4" s="192" t="s">
        <v>77</v>
      </c>
      <c r="U4" s="191" t="s">
        <v>3</v>
      </c>
      <c r="V4" s="191" t="s">
        <v>71</v>
      </c>
      <c r="W4" s="195" t="s">
        <v>77</v>
      </c>
      <c r="X4" s="159" t="s">
        <v>16</v>
      </c>
      <c r="Y4" s="186" t="s">
        <v>88</v>
      </c>
      <c r="Z4" s="186" t="s">
        <v>89</v>
      </c>
      <c r="AA4" s="186" t="s">
        <v>90</v>
      </c>
      <c r="AB4" s="186" t="s">
        <v>91</v>
      </c>
      <c r="AC4" s="186" t="s">
        <v>92</v>
      </c>
      <c r="AD4" s="186" t="s">
        <v>93</v>
      </c>
      <c r="AE4" s="186" t="s">
        <v>94</v>
      </c>
      <c r="AF4" s="206" t="s">
        <v>102</v>
      </c>
    </row>
    <row r="5" spans="1:32" x14ac:dyDescent="0.25">
      <c r="A5" s="30">
        <v>2003</v>
      </c>
      <c r="B5" s="15" t="s">
        <v>10</v>
      </c>
      <c r="C5" s="43" t="s">
        <v>10</v>
      </c>
      <c r="D5" s="16">
        <v>1961</v>
      </c>
      <c r="E5" s="5" t="s">
        <v>10</v>
      </c>
      <c r="F5" s="11">
        <f>D5/59.901</f>
        <v>32.737349960768597</v>
      </c>
      <c r="G5" s="11"/>
      <c r="H5" s="27"/>
      <c r="I5" s="5">
        <v>1494</v>
      </c>
      <c r="J5" s="5" t="s">
        <v>10</v>
      </c>
      <c r="K5" s="27">
        <f t="shared" ref="K5:K17" si="0">I5/41.01</f>
        <v>36.430138990490128</v>
      </c>
      <c r="L5" s="21">
        <v>467</v>
      </c>
      <c r="M5" s="21" t="s">
        <v>10</v>
      </c>
      <c r="N5" s="27">
        <f t="shared" ref="N5:N24" si="1">L5/18.891</f>
        <v>24.720766502567361</v>
      </c>
      <c r="O5" s="12" t="s">
        <v>10</v>
      </c>
      <c r="P5" s="12" t="s">
        <v>10</v>
      </c>
      <c r="Q5" s="14" t="s">
        <v>10</v>
      </c>
      <c r="R5" s="64" t="s">
        <v>10</v>
      </c>
      <c r="S5" s="12" t="s">
        <v>10</v>
      </c>
      <c r="T5" s="14" t="s">
        <v>10</v>
      </c>
      <c r="U5" s="6"/>
      <c r="V5" s="14"/>
      <c r="W5" s="43"/>
      <c r="X5">
        <f t="shared" ref="X5:X24" si="2">A5</f>
        <v>2003</v>
      </c>
      <c r="Y5" s="204">
        <f t="shared" ref="Y5:Y24" si="3">I5*(15046/59901)</f>
        <v>375.26458656783694</v>
      </c>
      <c r="Z5" s="204">
        <f t="shared" ref="Z5:Z24" si="4">I5*(5466.5/59901)</f>
        <v>136.34081234036159</v>
      </c>
      <c r="AA5" s="204">
        <f t="shared" ref="AA5:AA24" si="5">I5*(3379.4/59901)</f>
        <v>84.286132117994697</v>
      </c>
      <c r="AB5" s="204">
        <f t="shared" ref="AB5:AB24" si="6">I5*(17118.2/59901)</f>
        <v>426.94764361195973</v>
      </c>
      <c r="AC5" s="204" t="s">
        <v>10</v>
      </c>
      <c r="AD5" s="204" t="s">
        <v>10</v>
      </c>
      <c r="AE5" s="204" t="s">
        <v>10</v>
      </c>
      <c r="AF5" s="207" t="s">
        <v>10</v>
      </c>
    </row>
    <row r="6" spans="1:32" x14ac:dyDescent="0.25">
      <c r="A6" s="30">
        <v>2004</v>
      </c>
      <c r="B6" s="15" t="s">
        <v>10</v>
      </c>
      <c r="C6" s="43" t="s">
        <v>10</v>
      </c>
      <c r="D6" s="16">
        <v>2811</v>
      </c>
      <c r="E6" s="76">
        <f t="shared" ref="E6:E14" si="7">(D6/D5)-1</f>
        <v>0.43345232024477309</v>
      </c>
      <c r="F6" s="11">
        <f>D6/59.901</f>
        <v>46.927430259928883</v>
      </c>
      <c r="G6" s="11"/>
      <c r="H6" s="27"/>
      <c r="I6" s="5">
        <v>2357</v>
      </c>
      <c r="J6" s="76">
        <f>(I6/I5)-1</f>
        <v>0.57764390896921025</v>
      </c>
      <c r="K6" s="27">
        <f t="shared" si="0"/>
        <v>57.473786881248479</v>
      </c>
      <c r="L6" s="21">
        <v>396</v>
      </c>
      <c r="M6" s="76">
        <f>(L6/L5)-1</f>
        <v>-0.15203426124197006</v>
      </c>
      <c r="N6" s="27">
        <f t="shared" si="1"/>
        <v>20.962363030014295</v>
      </c>
      <c r="O6" s="12" t="s">
        <v>10</v>
      </c>
      <c r="P6" s="44" t="s">
        <v>10</v>
      </c>
      <c r="Q6" s="14" t="s">
        <v>10</v>
      </c>
      <c r="R6" s="64" t="s">
        <v>10</v>
      </c>
      <c r="S6" s="44" t="s">
        <v>10</v>
      </c>
      <c r="T6" s="14" t="s">
        <v>10</v>
      </c>
      <c r="U6" s="6"/>
      <c r="V6" s="14"/>
      <c r="W6" s="43"/>
      <c r="X6">
        <f t="shared" si="2"/>
        <v>2004</v>
      </c>
      <c r="Y6" s="204">
        <f t="shared" si="3"/>
        <v>592.03388925059687</v>
      </c>
      <c r="Z6" s="204">
        <f t="shared" si="4"/>
        <v>215.09725213268558</v>
      </c>
      <c r="AA6" s="204">
        <f t="shared" si="5"/>
        <v>132.97350294652844</v>
      </c>
      <c r="AB6" s="204">
        <f t="shared" si="6"/>
        <v>673.57134939316541</v>
      </c>
      <c r="AC6" s="204" t="s">
        <v>10</v>
      </c>
      <c r="AD6" s="204" t="s">
        <v>10</v>
      </c>
      <c r="AE6" s="204" t="s">
        <v>10</v>
      </c>
      <c r="AF6" s="207" t="s">
        <v>10</v>
      </c>
    </row>
    <row r="7" spans="1:32" x14ac:dyDescent="0.25">
      <c r="A7" s="30">
        <v>2005</v>
      </c>
      <c r="B7" s="15" t="s">
        <v>10</v>
      </c>
      <c r="C7" s="43" t="s">
        <v>10</v>
      </c>
      <c r="D7" s="16">
        <v>4479</v>
      </c>
      <c r="E7" s="76">
        <f t="shared" si="7"/>
        <v>0.59338313767342576</v>
      </c>
      <c r="F7" s="11">
        <f>D7/59.901</f>
        <v>74.773376070516349</v>
      </c>
      <c r="G7" s="11"/>
      <c r="H7" s="27"/>
      <c r="I7" s="5">
        <v>3631</v>
      </c>
      <c r="J7" s="76">
        <f t="shared" ref="J7:J18" si="8">(I7/I6)-1</f>
        <v>0.54051760712770469</v>
      </c>
      <c r="K7" s="27">
        <f t="shared" si="0"/>
        <v>88.539380638868579</v>
      </c>
      <c r="L7" s="21">
        <v>436</v>
      </c>
      <c r="M7" s="76">
        <f t="shared" ref="M7:M18" si="9">(L7/L6)-1</f>
        <v>0.10101010101010099</v>
      </c>
      <c r="N7" s="27">
        <f t="shared" si="1"/>
        <v>23.079773437086445</v>
      </c>
      <c r="O7" s="12" t="s">
        <v>10</v>
      </c>
      <c r="P7" s="12" t="s">
        <v>10</v>
      </c>
      <c r="Q7" s="14" t="s">
        <v>10</v>
      </c>
      <c r="R7" s="64" t="s">
        <v>10</v>
      </c>
      <c r="S7" s="12" t="s">
        <v>10</v>
      </c>
      <c r="T7" s="14" t="s">
        <v>10</v>
      </c>
      <c r="U7" s="6"/>
      <c r="V7" s="14"/>
      <c r="W7" s="43"/>
      <c r="X7">
        <f t="shared" si="2"/>
        <v>2005</v>
      </c>
      <c r="Y7" s="204">
        <f t="shared" si="3"/>
        <v>912.03863040683791</v>
      </c>
      <c r="Z7" s="204">
        <f t="shared" si="4"/>
        <v>331.36110415518937</v>
      </c>
      <c r="AA7" s="204">
        <f t="shared" si="5"/>
        <v>204.84802257057478</v>
      </c>
      <c r="AB7" s="204">
        <f t="shared" si="6"/>
        <v>1037.6485233969383</v>
      </c>
      <c r="AC7" s="204" t="s">
        <v>10</v>
      </c>
      <c r="AD7" s="204" t="s">
        <v>10</v>
      </c>
      <c r="AE7" s="204" t="s">
        <v>10</v>
      </c>
      <c r="AF7" s="207" t="s">
        <v>10</v>
      </c>
    </row>
    <row r="8" spans="1:32" x14ac:dyDescent="0.25">
      <c r="A8" s="30">
        <v>2006</v>
      </c>
      <c r="B8" s="15" t="s">
        <v>10</v>
      </c>
      <c r="C8" s="43" t="s">
        <v>10</v>
      </c>
      <c r="D8" s="16">
        <f t="shared" ref="D8:D14" si="10">I8+L8+O8</f>
        <v>4069</v>
      </c>
      <c r="E8" s="76">
        <f t="shared" si="7"/>
        <v>-9.1538289796829653E-2</v>
      </c>
      <c r="F8" s="11">
        <f t="shared" ref="F8:F16" si="11">D8/78.842</f>
        <v>51.609548210344741</v>
      </c>
      <c r="G8" s="11"/>
      <c r="H8" s="27"/>
      <c r="I8" s="5">
        <v>3249</v>
      </c>
      <c r="J8" s="76">
        <f t="shared" si="8"/>
        <v>-0.10520517763701465</v>
      </c>
      <c r="K8" s="27">
        <f t="shared" si="0"/>
        <v>79.224579370885152</v>
      </c>
      <c r="L8" s="21">
        <v>468</v>
      </c>
      <c r="M8" s="76">
        <f t="shared" si="9"/>
        <v>7.3394495412844041E-2</v>
      </c>
      <c r="N8" s="27">
        <f t="shared" si="1"/>
        <v>24.773701762744167</v>
      </c>
      <c r="O8" s="5">
        <v>352</v>
      </c>
      <c r="P8" s="5" t="s">
        <v>10</v>
      </c>
      <c r="Q8" s="11">
        <f t="shared" ref="Q8:Q24" si="12">O8/18.941</f>
        <v>18.58402407475846</v>
      </c>
      <c r="R8" s="8" t="s">
        <v>10</v>
      </c>
      <c r="S8" s="5" t="s">
        <v>10</v>
      </c>
      <c r="T8" s="11" t="s">
        <v>10</v>
      </c>
      <c r="U8" s="193"/>
      <c r="V8" s="11"/>
      <c r="W8" s="22"/>
      <c r="X8">
        <f t="shared" si="2"/>
        <v>2006</v>
      </c>
      <c r="Y8" s="204">
        <f t="shared" si="3"/>
        <v>816.08744428306704</v>
      </c>
      <c r="Z8" s="204">
        <f t="shared" si="4"/>
        <v>296.5002003305454</v>
      </c>
      <c r="AA8" s="204">
        <f t="shared" si="5"/>
        <v>183.2969499674463</v>
      </c>
      <c r="AB8" s="204">
        <f t="shared" si="6"/>
        <v>928.48252616817751</v>
      </c>
      <c r="AC8" s="204">
        <f t="shared" ref="AC8:AC24" si="13">O8*(722/18941)</f>
        <v>13.417665381975608</v>
      </c>
      <c r="AD8" s="204">
        <f t="shared" ref="AD8:AD24" si="14">O8*(17811.9/18941)</f>
        <v>331.01677841719021</v>
      </c>
      <c r="AE8" s="204">
        <f t="shared" ref="AE8:AE24" si="15">O8*(407.4/18941)</f>
        <v>7.5711314080565959</v>
      </c>
      <c r="AF8" s="207" t="s">
        <v>10</v>
      </c>
    </row>
    <row r="9" spans="1:32" x14ac:dyDescent="0.25">
      <c r="A9" s="30">
        <v>2007</v>
      </c>
      <c r="B9" s="16">
        <v>2624</v>
      </c>
      <c r="C9" s="19">
        <f>B9/B2</f>
        <v>0.6796166796166796</v>
      </c>
      <c r="D9" s="16">
        <f t="shared" si="10"/>
        <v>2640.7000000000003</v>
      </c>
      <c r="E9" s="76">
        <f t="shared" si="7"/>
        <v>-0.35101990661096083</v>
      </c>
      <c r="F9" s="11">
        <f t="shared" si="11"/>
        <v>33.493569417315648</v>
      </c>
      <c r="G9" s="11"/>
      <c r="H9" s="27"/>
      <c r="I9" s="5">
        <v>1911</v>
      </c>
      <c r="J9" s="76">
        <f t="shared" si="8"/>
        <v>-0.41181902123730374</v>
      </c>
      <c r="K9" s="27">
        <f t="shared" si="0"/>
        <v>46.598390636430139</v>
      </c>
      <c r="L9" s="21">
        <v>450.3</v>
      </c>
      <c r="M9" s="76">
        <f t="shared" si="9"/>
        <v>-3.7820512820512797E-2</v>
      </c>
      <c r="N9" s="27">
        <f t="shared" si="1"/>
        <v>23.83674765761474</v>
      </c>
      <c r="O9" s="5">
        <v>279.39999999999998</v>
      </c>
      <c r="P9" s="76">
        <f>(O9/O8)-1</f>
        <v>-0.20625000000000004</v>
      </c>
      <c r="Q9" s="11">
        <f t="shared" si="12"/>
        <v>14.751069109339527</v>
      </c>
      <c r="R9" s="8" t="s">
        <v>10</v>
      </c>
      <c r="S9" s="44" t="s">
        <v>10</v>
      </c>
      <c r="T9" s="11" t="s">
        <v>10</v>
      </c>
      <c r="U9" s="193"/>
      <c r="V9" s="11"/>
      <c r="W9" s="22"/>
      <c r="X9">
        <f t="shared" si="2"/>
        <v>2007</v>
      </c>
      <c r="Y9" s="204">
        <f t="shared" si="3"/>
        <v>480.00711173436173</v>
      </c>
      <c r="Z9" s="204">
        <f t="shared" si="4"/>
        <v>174.39577803375568</v>
      </c>
      <c r="AA9" s="204">
        <f t="shared" si="5"/>
        <v>107.81177943606951</v>
      </c>
      <c r="AB9" s="204">
        <f t="shared" si="6"/>
        <v>546.11576100565935</v>
      </c>
      <c r="AC9" s="204">
        <f t="shared" si="13"/>
        <v>10.650271896943138</v>
      </c>
      <c r="AD9" s="204">
        <f t="shared" si="14"/>
        <v>262.74456786864471</v>
      </c>
      <c r="AE9" s="204">
        <f t="shared" si="15"/>
        <v>6.0095855551449224</v>
      </c>
      <c r="AF9" s="207" t="s">
        <v>10</v>
      </c>
    </row>
    <row r="10" spans="1:32" x14ac:dyDescent="0.25">
      <c r="A10" s="30">
        <v>2008</v>
      </c>
      <c r="B10" s="16">
        <v>2736</v>
      </c>
      <c r="C10" s="19">
        <f>B10/B2</f>
        <v>0.70862470862470861</v>
      </c>
      <c r="D10" s="16">
        <f t="shared" si="10"/>
        <v>2803.1</v>
      </c>
      <c r="E10" s="76">
        <f t="shared" si="7"/>
        <v>6.1498845003218783E-2</v>
      </c>
      <c r="F10" s="11">
        <f t="shared" si="11"/>
        <v>35.553385251515692</v>
      </c>
      <c r="G10" s="11"/>
      <c r="H10" s="27"/>
      <c r="I10" s="5">
        <v>1991</v>
      </c>
      <c r="J10" s="76">
        <f t="shared" si="8"/>
        <v>4.1862899005756127E-2</v>
      </c>
      <c r="K10" s="27">
        <f t="shared" si="0"/>
        <v>48.54913435747379</v>
      </c>
      <c r="L10" s="21">
        <v>496.4</v>
      </c>
      <c r="M10" s="76">
        <f t="shared" si="9"/>
        <v>0.10237619364867867</v>
      </c>
      <c r="N10" s="27">
        <f t="shared" si="1"/>
        <v>26.277063151765393</v>
      </c>
      <c r="O10" s="5">
        <v>315.7</v>
      </c>
      <c r="P10" s="76">
        <f t="shared" ref="P10:P18" si="16">(O10/O9)-1</f>
        <v>0.12992125984251968</v>
      </c>
      <c r="Q10" s="11">
        <f t="shared" si="12"/>
        <v>16.667546592048996</v>
      </c>
      <c r="R10" s="8" t="s">
        <v>10</v>
      </c>
      <c r="S10" s="44" t="s">
        <v>10</v>
      </c>
      <c r="T10" s="11" t="s">
        <v>10</v>
      </c>
      <c r="U10" s="193"/>
      <c r="V10" s="11"/>
      <c r="W10" s="22"/>
      <c r="X10">
        <f t="shared" si="2"/>
        <v>2008</v>
      </c>
      <c r="Y10" s="204">
        <f t="shared" si="3"/>
        <v>500.10160097494202</v>
      </c>
      <c r="Z10" s="204">
        <f t="shared" si="4"/>
        <v>181.69649087661307</v>
      </c>
      <c r="AA10" s="204">
        <f t="shared" si="5"/>
        <v>112.32509307023255</v>
      </c>
      <c r="AB10" s="204">
        <f t="shared" si="6"/>
        <v>568.977749954091</v>
      </c>
      <c r="AC10" s="204">
        <f t="shared" si="13"/>
        <v>12.033968639459374</v>
      </c>
      <c r="AD10" s="204">
        <f t="shared" si="14"/>
        <v>296.88067314291749</v>
      </c>
      <c r="AE10" s="204">
        <f t="shared" si="15"/>
        <v>6.7903584816007596</v>
      </c>
      <c r="AF10" s="207" t="s">
        <v>10</v>
      </c>
    </row>
    <row r="11" spans="1:32" x14ac:dyDescent="0.25">
      <c r="A11" s="128">
        <v>2009</v>
      </c>
      <c r="B11" s="122">
        <v>2835</v>
      </c>
      <c r="C11" s="129">
        <f>B11/B2</f>
        <v>0.73426573426573427</v>
      </c>
      <c r="D11" s="122">
        <f t="shared" si="10"/>
        <v>2681.6</v>
      </c>
      <c r="E11" s="120">
        <f t="shared" si="7"/>
        <v>-4.334486818165606E-2</v>
      </c>
      <c r="F11" s="123">
        <f t="shared" si="11"/>
        <v>34.012328454377105</v>
      </c>
      <c r="G11" s="123"/>
      <c r="H11" s="130"/>
      <c r="I11" s="125">
        <v>1729</v>
      </c>
      <c r="J11" s="120">
        <f t="shared" si="8"/>
        <v>-0.13159216474133606</v>
      </c>
      <c r="K11" s="130">
        <f t="shared" si="0"/>
        <v>42.160448671055839</v>
      </c>
      <c r="L11" s="121">
        <v>593.1</v>
      </c>
      <c r="M11" s="120">
        <f t="shared" si="9"/>
        <v>0.19480257856567285</v>
      </c>
      <c r="N11" s="130">
        <f t="shared" si="1"/>
        <v>31.395902810862321</v>
      </c>
      <c r="O11" s="125">
        <v>359.5</v>
      </c>
      <c r="P11" s="120">
        <f t="shared" si="16"/>
        <v>0.13873930947101676</v>
      </c>
      <c r="Q11" s="123">
        <f t="shared" si="12"/>
        <v>18.979990496805872</v>
      </c>
      <c r="R11" s="131" t="s">
        <v>10</v>
      </c>
      <c r="S11" s="132" t="s">
        <v>10</v>
      </c>
      <c r="T11" s="123" t="s">
        <v>10</v>
      </c>
      <c r="U11" s="194"/>
      <c r="V11" s="123"/>
      <c r="W11" s="126"/>
      <c r="X11">
        <f t="shared" si="2"/>
        <v>2009</v>
      </c>
      <c r="Y11" s="204">
        <f t="shared" si="3"/>
        <v>434.29214871204152</v>
      </c>
      <c r="Z11" s="204">
        <f t="shared" si="4"/>
        <v>157.78665631625515</v>
      </c>
      <c r="AA11" s="204">
        <f t="shared" si="5"/>
        <v>97.543990918348612</v>
      </c>
      <c r="AB11" s="204">
        <f t="shared" si="6"/>
        <v>494.10473614797752</v>
      </c>
      <c r="AC11" s="204">
        <f t="shared" si="13"/>
        <v>13.703553138693838</v>
      </c>
      <c r="AD11" s="204">
        <f t="shared" si="14"/>
        <v>338.06969273005649</v>
      </c>
      <c r="AE11" s="204">
        <f t="shared" si="15"/>
        <v>7.732448128398711</v>
      </c>
      <c r="AF11" s="207" t="s">
        <v>10</v>
      </c>
    </row>
    <row r="12" spans="1:32" x14ac:dyDescent="0.25">
      <c r="A12" s="30">
        <v>2010</v>
      </c>
      <c r="B12" s="16">
        <v>3906</v>
      </c>
      <c r="C12" s="19">
        <f>B12/B2</f>
        <v>1.0116550116550116</v>
      </c>
      <c r="D12" s="16">
        <f t="shared" si="10"/>
        <v>2603.8000000000002</v>
      </c>
      <c r="E12" s="76">
        <f t="shared" si="7"/>
        <v>-2.9012529832935452E-2</v>
      </c>
      <c r="F12" s="11">
        <f t="shared" si="11"/>
        <v>33.025544760406895</v>
      </c>
      <c r="G12" s="11"/>
      <c r="H12" s="27"/>
      <c r="I12" s="5">
        <v>1655</v>
      </c>
      <c r="J12" s="76">
        <f t="shared" si="8"/>
        <v>-4.2799305957200717E-2</v>
      </c>
      <c r="K12" s="27">
        <f t="shared" si="0"/>
        <v>40.356010729090471</v>
      </c>
      <c r="L12" s="21">
        <v>608.5</v>
      </c>
      <c r="M12" s="76">
        <f t="shared" si="9"/>
        <v>2.596526723992576E-2</v>
      </c>
      <c r="N12" s="27">
        <f t="shared" si="1"/>
        <v>32.2111058175851</v>
      </c>
      <c r="O12" s="5">
        <v>340.3</v>
      </c>
      <c r="P12" s="76">
        <f t="shared" si="16"/>
        <v>-5.3407510431154326E-2</v>
      </c>
      <c r="Q12" s="11">
        <f t="shared" si="12"/>
        <v>17.966316456364503</v>
      </c>
      <c r="R12" s="8" t="s">
        <v>10</v>
      </c>
      <c r="S12" s="44" t="s">
        <v>10</v>
      </c>
      <c r="T12" s="11" t="s">
        <v>10</v>
      </c>
      <c r="U12" s="193"/>
      <c r="V12" s="11"/>
      <c r="W12" s="22"/>
      <c r="X12">
        <f t="shared" si="2"/>
        <v>2010</v>
      </c>
      <c r="Y12" s="204">
        <f t="shared" si="3"/>
        <v>415.7047461645048</v>
      </c>
      <c r="Z12" s="204">
        <f t="shared" si="4"/>
        <v>151.03349693661207</v>
      </c>
      <c r="AA12" s="204">
        <f t="shared" si="5"/>
        <v>93.369175806747805</v>
      </c>
      <c r="AB12" s="204">
        <f t="shared" si="6"/>
        <v>472.95739637067828</v>
      </c>
      <c r="AC12" s="204">
        <f t="shared" si="13"/>
        <v>12.97168048149517</v>
      </c>
      <c r="AD12" s="204">
        <f t="shared" si="14"/>
        <v>320.01423208911888</v>
      </c>
      <c r="AE12" s="204">
        <f t="shared" si="15"/>
        <v>7.3194773243228974</v>
      </c>
      <c r="AF12" s="207" t="s">
        <v>10</v>
      </c>
    </row>
    <row r="13" spans="1:32" x14ac:dyDescent="0.25">
      <c r="A13" s="30">
        <v>2011</v>
      </c>
      <c r="B13" s="16">
        <v>3287</v>
      </c>
      <c r="C13" s="19">
        <f>B13/B2</f>
        <v>0.85133385133385131</v>
      </c>
      <c r="D13" s="16">
        <f t="shared" si="10"/>
        <v>2424.4</v>
      </c>
      <c r="E13" s="76">
        <f t="shared" si="7"/>
        <v>-6.8899301021583814E-2</v>
      </c>
      <c r="F13" s="11">
        <f t="shared" si="11"/>
        <v>30.750107810557825</v>
      </c>
      <c r="G13" s="11"/>
      <c r="H13" s="27"/>
      <c r="I13" s="5">
        <v>1485</v>
      </c>
      <c r="J13" s="76">
        <f t="shared" si="8"/>
        <v>-0.10271903323262843</v>
      </c>
      <c r="K13" s="27">
        <f t="shared" si="0"/>
        <v>36.210680321872715</v>
      </c>
      <c r="L13" s="21">
        <v>635.5</v>
      </c>
      <c r="M13" s="76">
        <f t="shared" si="9"/>
        <v>4.4371405094494554E-2</v>
      </c>
      <c r="N13" s="27">
        <f t="shared" si="1"/>
        <v>33.640357842358796</v>
      </c>
      <c r="O13" s="5">
        <v>303.89999999999998</v>
      </c>
      <c r="P13" s="76">
        <f t="shared" si="16"/>
        <v>-0.10696444313840736</v>
      </c>
      <c r="Q13" s="11">
        <f t="shared" si="12"/>
        <v>16.044559421361068</v>
      </c>
      <c r="R13" s="8" t="s">
        <v>10</v>
      </c>
      <c r="S13" s="44" t="s">
        <v>10</v>
      </c>
      <c r="T13" s="11" t="s">
        <v>10</v>
      </c>
      <c r="U13" s="193"/>
      <c r="V13" s="11"/>
      <c r="W13" s="22"/>
      <c r="X13">
        <f t="shared" si="2"/>
        <v>2011</v>
      </c>
      <c r="Y13" s="204">
        <f t="shared" si="3"/>
        <v>373.00395652827166</v>
      </c>
      <c r="Z13" s="204">
        <f t="shared" si="4"/>
        <v>135.51948214554014</v>
      </c>
      <c r="AA13" s="204">
        <f t="shared" si="5"/>
        <v>83.778384334151355</v>
      </c>
      <c r="AB13" s="204">
        <f t="shared" si="6"/>
        <v>424.37566985526121</v>
      </c>
      <c r="AC13" s="204">
        <f t="shared" si="13"/>
        <v>11.584171902222691</v>
      </c>
      <c r="AD13" s="204">
        <f t="shared" si="14"/>
        <v>285.78408795734123</v>
      </c>
      <c r="AE13" s="204">
        <f t="shared" si="15"/>
        <v>6.5365535082624984</v>
      </c>
      <c r="AF13" s="207" t="s">
        <v>10</v>
      </c>
    </row>
    <row r="14" spans="1:32" x14ac:dyDescent="0.25">
      <c r="A14" s="30">
        <v>2012</v>
      </c>
      <c r="B14" s="16">
        <v>3264</v>
      </c>
      <c r="C14" s="19">
        <f>B14/B2</f>
        <v>0.84537684537684543</v>
      </c>
      <c r="D14" s="16">
        <f t="shared" si="10"/>
        <v>2477.4</v>
      </c>
      <c r="E14" s="76">
        <f t="shared" si="7"/>
        <v>2.1861079029863006E-2</v>
      </c>
      <c r="F14" s="11">
        <f t="shared" si="11"/>
        <v>31.422338347581238</v>
      </c>
      <c r="G14" s="10">
        <v>1.35</v>
      </c>
      <c r="H14" s="7">
        <f t="shared" ref="H14:H19" si="17">(G14*D14)/78842</f>
        <v>4.2420156769234676E-2</v>
      </c>
      <c r="I14" s="5">
        <v>1564</v>
      </c>
      <c r="J14" s="76">
        <f t="shared" si="8"/>
        <v>5.3198653198653245E-2</v>
      </c>
      <c r="K14" s="27">
        <f t="shared" si="0"/>
        <v>38.137039746403318</v>
      </c>
      <c r="L14" s="21">
        <v>686.4</v>
      </c>
      <c r="M14" s="76">
        <f t="shared" si="9"/>
        <v>8.0094413847364265E-2</v>
      </c>
      <c r="N14" s="27">
        <f t="shared" si="1"/>
        <v>36.334762585358106</v>
      </c>
      <c r="O14" s="5">
        <v>227</v>
      </c>
      <c r="P14" s="76">
        <f t="shared" si="16"/>
        <v>-0.25304376439618292</v>
      </c>
      <c r="Q14" s="11">
        <f t="shared" si="12"/>
        <v>11.984583707301622</v>
      </c>
      <c r="R14" s="8" t="s">
        <v>10</v>
      </c>
      <c r="S14" s="44" t="s">
        <v>10</v>
      </c>
      <c r="T14" s="11" t="s">
        <v>10</v>
      </c>
      <c r="U14" s="193"/>
      <c r="V14" s="11"/>
      <c r="W14" s="22"/>
      <c r="X14">
        <f t="shared" si="2"/>
        <v>2012</v>
      </c>
      <c r="Y14" s="204">
        <f t="shared" si="3"/>
        <v>392.84726465334467</v>
      </c>
      <c r="Z14" s="204">
        <f t="shared" si="4"/>
        <v>142.72893607786179</v>
      </c>
      <c r="AA14" s="204">
        <f t="shared" si="5"/>
        <v>88.235281547887354</v>
      </c>
      <c r="AB14" s="204">
        <f t="shared" si="6"/>
        <v>446.95188394183737</v>
      </c>
      <c r="AC14" s="204">
        <f t="shared" si="13"/>
        <v>8.6528694366717698</v>
      </c>
      <c r="AD14" s="204">
        <f t="shared" si="14"/>
        <v>213.46820653608575</v>
      </c>
      <c r="AE14" s="204">
        <f t="shared" si="15"/>
        <v>4.8825194023546796</v>
      </c>
      <c r="AF14" s="207" t="s">
        <v>10</v>
      </c>
    </row>
    <row r="15" spans="1:32" x14ac:dyDescent="0.25">
      <c r="A15" s="30">
        <v>2013</v>
      </c>
      <c r="B15" s="16">
        <v>3389</v>
      </c>
      <c r="C15" s="19">
        <f>B15/B2</f>
        <v>0.8777518777518778</v>
      </c>
      <c r="D15" s="16">
        <f t="shared" ref="D15:D20" si="18">I15+L15+O15+R15</f>
        <v>2195.5</v>
      </c>
      <c r="E15" s="76">
        <f t="shared" ref="E15:E20" si="19">(D15/D14)-1</f>
        <v>-0.11378864939049005</v>
      </c>
      <c r="F15" s="11">
        <f t="shared" si="11"/>
        <v>27.846832906318969</v>
      </c>
      <c r="G15" s="10">
        <v>0.59</v>
      </c>
      <c r="H15" s="7">
        <f t="shared" si="17"/>
        <v>1.6429631414728189E-2</v>
      </c>
      <c r="I15" s="5">
        <v>1315</v>
      </c>
      <c r="J15" s="76">
        <f t="shared" si="8"/>
        <v>-0.15920716112531974</v>
      </c>
      <c r="K15" s="27">
        <f t="shared" si="0"/>
        <v>32.065349914654966</v>
      </c>
      <c r="L15" s="21">
        <v>636</v>
      </c>
      <c r="M15" s="76">
        <f t="shared" si="9"/>
        <v>-7.3426573426573438E-2</v>
      </c>
      <c r="N15" s="27">
        <f t="shared" si="1"/>
        <v>33.666825472447201</v>
      </c>
      <c r="O15" s="5">
        <v>243.5</v>
      </c>
      <c r="P15" s="76">
        <f t="shared" si="16"/>
        <v>7.2687224669603534E-2</v>
      </c>
      <c r="Q15" s="11">
        <f t="shared" si="12"/>
        <v>12.855709835805925</v>
      </c>
      <c r="R15" s="8">
        <v>1</v>
      </c>
      <c r="S15" s="44" t="s">
        <v>10</v>
      </c>
      <c r="T15" s="11">
        <f>(R15/4.826)/0.35</f>
        <v>0.5920312592504885</v>
      </c>
      <c r="U15" s="193"/>
      <c r="V15" s="11"/>
      <c r="W15" s="22"/>
      <c r="X15">
        <f t="shared" si="2"/>
        <v>2013</v>
      </c>
      <c r="Y15" s="204">
        <f t="shared" si="3"/>
        <v>330.30316689203852</v>
      </c>
      <c r="Z15" s="204">
        <f t="shared" si="4"/>
        <v>120.00546735446819</v>
      </c>
      <c r="AA15" s="204">
        <f t="shared" si="5"/>
        <v>74.187592861554904</v>
      </c>
      <c r="AB15" s="204">
        <f t="shared" si="6"/>
        <v>375.79394333984408</v>
      </c>
      <c r="AC15" s="204">
        <f t="shared" si="13"/>
        <v>9.2818225014518774</v>
      </c>
      <c r="AD15" s="204">
        <f t="shared" si="14"/>
        <v>228.98461802439155</v>
      </c>
      <c r="AE15" s="204">
        <f t="shared" si="15"/>
        <v>5.2374161871073328</v>
      </c>
      <c r="AF15" s="207" t="s">
        <v>10</v>
      </c>
    </row>
    <row r="16" spans="1:32" x14ac:dyDescent="0.25">
      <c r="A16" s="30">
        <v>2014</v>
      </c>
      <c r="B16" s="16">
        <f>Sammanställning!B17</f>
        <v>2707</v>
      </c>
      <c r="C16" s="19">
        <f>B16/B2</f>
        <v>0.70111370111370108</v>
      </c>
      <c r="D16" s="16">
        <f t="shared" si="18"/>
        <v>2462.6</v>
      </c>
      <c r="E16" s="76">
        <f t="shared" si="19"/>
        <v>0.12165793668868141</v>
      </c>
      <c r="F16" s="11">
        <f t="shared" si="11"/>
        <v>31.234621141016209</v>
      </c>
      <c r="G16" s="10">
        <v>0.59</v>
      </c>
      <c r="H16" s="7">
        <f t="shared" si="17"/>
        <v>1.8428426473199564E-2</v>
      </c>
      <c r="I16" s="5">
        <v>1429</v>
      </c>
      <c r="J16" s="76">
        <f t="shared" si="8"/>
        <v>8.6692015209125506E-2</v>
      </c>
      <c r="K16" s="27">
        <f t="shared" si="0"/>
        <v>34.84515971714216</v>
      </c>
      <c r="L16" s="21">
        <v>617.70000000000005</v>
      </c>
      <c r="M16" s="76">
        <f t="shared" si="9"/>
        <v>-2.8773584905660288E-2</v>
      </c>
      <c r="N16" s="27">
        <f t="shared" si="1"/>
        <v>32.698110211211691</v>
      </c>
      <c r="O16" s="5">
        <v>315.89999999999998</v>
      </c>
      <c r="P16" s="76">
        <f t="shared" si="16"/>
        <v>0.29733059548254603</v>
      </c>
      <c r="Q16" s="11">
        <f t="shared" si="12"/>
        <v>16.678105696636926</v>
      </c>
      <c r="R16" s="148">
        <v>100</v>
      </c>
      <c r="S16" s="118" t="s">
        <v>10</v>
      </c>
      <c r="T16" s="11">
        <f t="shared" ref="T16:T22" si="20">(R16/4.826)</f>
        <v>20.721094073767098</v>
      </c>
      <c r="U16" s="193"/>
      <c r="V16" s="11"/>
      <c r="W16" s="22"/>
      <c r="X16">
        <f t="shared" si="2"/>
        <v>2014</v>
      </c>
      <c r="Y16" s="204">
        <f t="shared" si="3"/>
        <v>358.93781405986545</v>
      </c>
      <c r="Z16" s="204">
        <f t="shared" si="4"/>
        <v>130.40898315553997</v>
      </c>
      <c r="AA16" s="204">
        <f t="shared" si="5"/>
        <v>80.619064790237232</v>
      </c>
      <c r="AB16" s="204">
        <f t="shared" si="6"/>
        <v>408.37227759135908</v>
      </c>
      <c r="AC16" s="204">
        <f t="shared" si="13"/>
        <v>12.04159231297186</v>
      </c>
      <c r="AD16" s="204">
        <f t="shared" si="14"/>
        <v>297.06875085792723</v>
      </c>
      <c r="AE16" s="204">
        <f t="shared" si="15"/>
        <v>6.7946602608098825</v>
      </c>
      <c r="AF16" s="207" t="s">
        <v>10</v>
      </c>
    </row>
    <row r="17" spans="1:32" x14ac:dyDescent="0.25">
      <c r="A17" s="30">
        <v>2015</v>
      </c>
      <c r="B17" s="16">
        <f>Sammanställning!B18</f>
        <v>2712</v>
      </c>
      <c r="C17" s="19">
        <f t="shared" ref="C17:C24" si="21">B17/$B$2</f>
        <v>0.70240870240870246</v>
      </c>
      <c r="D17" s="16">
        <f t="shared" si="18"/>
        <v>2513.5</v>
      </c>
      <c r="E17" s="76">
        <f t="shared" si="19"/>
        <v>2.0669211402582599E-2</v>
      </c>
      <c r="F17" s="11">
        <f t="shared" ref="F17" si="22">D17/78.842</f>
        <v>31.880216128459452</v>
      </c>
      <c r="G17" s="10">
        <v>1.59</v>
      </c>
      <c r="H17" s="7">
        <f t="shared" si="17"/>
        <v>5.0689543644250531E-2</v>
      </c>
      <c r="I17" s="5">
        <v>1484</v>
      </c>
      <c r="J17" s="76">
        <f t="shared" si="8"/>
        <v>3.8488453463960903E-2</v>
      </c>
      <c r="K17" s="27">
        <f t="shared" si="0"/>
        <v>36.186296025359667</v>
      </c>
      <c r="L17" s="21">
        <v>531.79999999999995</v>
      </c>
      <c r="M17" s="76">
        <f t="shared" si="9"/>
        <v>-0.1390642706815608</v>
      </c>
      <c r="N17" s="27">
        <f t="shared" si="1"/>
        <v>28.150971362024244</v>
      </c>
      <c r="O17" s="5">
        <v>367.7</v>
      </c>
      <c r="P17" s="76">
        <f t="shared" si="16"/>
        <v>0.16397594175371966</v>
      </c>
      <c r="Q17" s="11">
        <f t="shared" si="12"/>
        <v>19.412913784911041</v>
      </c>
      <c r="R17" s="148">
        <v>130</v>
      </c>
      <c r="S17" s="118">
        <f t="shared" ref="S17:S22" si="23">(R17/R16)-1</f>
        <v>0.30000000000000004</v>
      </c>
      <c r="T17" s="11">
        <f t="shared" si="20"/>
        <v>26.937422295897225</v>
      </c>
      <c r="U17" s="193"/>
      <c r="V17" s="11"/>
      <c r="W17" s="22"/>
      <c r="X17">
        <f t="shared" si="2"/>
        <v>2015</v>
      </c>
      <c r="Y17" s="204">
        <f t="shared" si="3"/>
        <v>372.75277541276438</v>
      </c>
      <c r="Z17" s="204">
        <f t="shared" si="4"/>
        <v>135.42822323500442</v>
      </c>
      <c r="AA17" s="204">
        <f t="shared" si="5"/>
        <v>83.721967913724313</v>
      </c>
      <c r="AB17" s="204">
        <f t="shared" si="6"/>
        <v>424.08989499340578</v>
      </c>
      <c r="AC17" s="204">
        <f t="shared" si="13"/>
        <v>14.01612375270577</v>
      </c>
      <c r="AD17" s="204">
        <f t="shared" si="14"/>
        <v>345.78087904545697</v>
      </c>
      <c r="AE17" s="204">
        <f t="shared" si="15"/>
        <v>7.9088210759727566</v>
      </c>
      <c r="AF17" s="207" t="s">
        <v>10</v>
      </c>
    </row>
    <row r="18" spans="1:32" x14ac:dyDescent="0.25">
      <c r="A18" s="30">
        <v>2016</v>
      </c>
      <c r="B18" s="16">
        <f>Sammanställning!B19</f>
        <v>2950</v>
      </c>
      <c r="C18" s="19">
        <f t="shared" si="21"/>
        <v>0.764050764050764</v>
      </c>
      <c r="D18" s="16">
        <f t="shared" si="18"/>
        <v>2528.4</v>
      </c>
      <c r="E18" s="76">
        <f t="shared" si="19"/>
        <v>5.927988860155109E-3</v>
      </c>
      <c r="F18" s="11">
        <f t="shared" ref="F18:F19" si="24">D18/78.842</f>
        <v>32.069201694528296</v>
      </c>
      <c r="G18" s="10">
        <v>2.59</v>
      </c>
      <c r="H18" s="7">
        <f t="shared" si="17"/>
        <v>8.3059232388828286E-2</v>
      </c>
      <c r="I18" s="5">
        <v>1502</v>
      </c>
      <c r="J18" s="76">
        <f t="shared" si="8"/>
        <v>1.2129380053908401E-2</v>
      </c>
      <c r="K18" s="27">
        <f t="shared" ref="K18:K24" si="25">I18/41.01</f>
        <v>36.625213362594494</v>
      </c>
      <c r="L18" s="21">
        <v>514.4</v>
      </c>
      <c r="M18" s="76">
        <f t="shared" si="9"/>
        <v>-3.2719067318540795E-2</v>
      </c>
      <c r="N18" s="27">
        <f t="shared" si="1"/>
        <v>27.22989783494786</v>
      </c>
      <c r="O18" s="5">
        <v>380</v>
      </c>
      <c r="P18" s="76">
        <f t="shared" si="16"/>
        <v>3.3451183029643783E-2</v>
      </c>
      <c r="Q18" s="11">
        <f t="shared" si="12"/>
        <v>20.062298717068792</v>
      </c>
      <c r="R18" s="148">
        <v>132</v>
      </c>
      <c r="S18" s="118">
        <f t="shared" si="23"/>
        <v>1.538461538461533E-2</v>
      </c>
      <c r="T18" s="11">
        <f t="shared" si="20"/>
        <v>27.351844177372566</v>
      </c>
      <c r="U18" s="193"/>
      <c r="V18" s="11"/>
      <c r="W18" s="22"/>
      <c r="X18">
        <f t="shared" si="2"/>
        <v>2016</v>
      </c>
      <c r="Y18" s="204">
        <f t="shared" si="3"/>
        <v>377.27403549189495</v>
      </c>
      <c r="Z18" s="204">
        <f t="shared" si="4"/>
        <v>137.07088362464734</v>
      </c>
      <c r="AA18" s="204">
        <f t="shared" si="5"/>
        <v>84.737463481410998</v>
      </c>
      <c r="AB18" s="204">
        <f t="shared" si="6"/>
        <v>429.23384250680289</v>
      </c>
      <c r="AC18" s="204">
        <f t="shared" si="13"/>
        <v>14.484979673723668</v>
      </c>
      <c r="AD18" s="204">
        <f t="shared" si="14"/>
        <v>357.34765851855764</v>
      </c>
      <c r="AE18" s="204">
        <f t="shared" si="15"/>
        <v>8.1733804973338255</v>
      </c>
      <c r="AF18" s="207" t="s">
        <v>10</v>
      </c>
    </row>
    <row r="19" spans="1:32" x14ac:dyDescent="0.25">
      <c r="A19" s="30">
        <v>2017</v>
      </c>
      <c r="B19" s="16">
        <f>Sammanställning!B20</f>
        <v>2908</v>
      </c>
      <c r="C19" s="19">
        <f t="shared" si="21"/>
        <v>0.75317275317275312</v>
      </c>
      <c r="D19" s="16">
        <f t="shared" si="18"/>
        <v>2264</v>
      </c>
      <c r="E19" s="76">
        <f t="shared" si="19"/>
        <v>-0.10457206138269259</v>
      </c>
      <c r="F19" s="11">
        <f t="shared" si="24"/>
        <v>28.715659166434136</v>
      </c>
      <c r="G19" s="10">
        <v>0</v>
      </c>
      <c r="H19" s="7">
        <f t="shared" si="17"/>
        <v>0</v>
      </c>
      <c r="I19" s="5">
        <v>1365</v>
      </c>
      <c r="J19" s="76">
        <f t="shared" ref="J19" si="26">(I19/I18)-1</f>
        <v>-9.1211717709720364E-2</v>
      </c>
      <c r="K19" s="27">
        <f t="shared" si="25"/>
        <v>33.284564740307246</v>
      </c>
      <c r="L19" s="21">
        <v>487</v>
      </c>
      <c r="M19" s="76">
        <f t="shared" ref="M19" si="27">(L19/L18)-1</f>
        <v>-5.3265940902021747E-2</v>
      </c>
      <c r="N19" s="27">
        <f t="shared" si="1"/>
        <v>25.779471706103436</v>
      </c>
      <c r="O19" s="5">
        <v>310</v>
      </c>
      <c r="P19" s="76">
        <f t="shared" ref="P19" si="28">(O19/O18)-1</f>
        <v>-0.18421052631578949</v>
      </c>
      <c r="Q19" s="11">
        <f t="shared" si="12"/>
        <v>16.366612111292962</v>
      </c>
      <c r="R19" s="148">
        <v>102</v>
      </c>
      <c r="S19" s="118">
        <f t="shared" si="23"/>
        <v>-0.22727272727272729</v>
      </c>
      <c r="T19" s="11">
        <f t="shared" si="20"/>
        <v>21.13551595524244</v>
      </c>
      <c r="U19" s="193"/>
      <c r="V19" s="11"/>
      <c r="W19" s="22"/>
      <c r="X19">
        <f t="shared" si="2"/>
        <v>2017</v>
      </c>
      <c r="Y19" s="204">
        <f t="shared" si="3"/>
        <v>342.86222266740123</v>
      </c>
      <c r="Z19" s="204">
        <f t="shared" si="4"/>
        <v>124.56841288125406</v>
      </c>
      <c r="AA19" s="204">
        <f t="shared" si="5"/>
        <v>77.008413882906794</v>
      </c>
      <c r="AB19" s="204">
        <f t="shared" si="6"/>
        <v>390.08268643261385</v>
      </c>
      <c r="AC19" s="204">
        <f t="shared" si="13"/>
        <v>11.816693944353519</v>
      </c>
      <c r="AD19" s="204">
        <f t="shared" si="14"/>
        <v>291.5204582651391</v>
      </c>
      <c r="AE19" s="204">
        <f t="shared" si="15"/>
        <v>6.6677577741407523</v>
      </c>
      <c r="AF19" s="207" t="s">
        <v>10</v>
      </c>
    </row>
    <row r="20" spans="1:32" x14ac:dyDescent="0.25">
      <c r="A20" s="30">
        <v>2018</v>
      </c>
      <c r="B20" s="16">
        <f>Sammanställning!B21</f>
        <v>3005</v>
      </c>
      <c r="C20" s="19">
        <f t="shared" si="21"/>
        <v>0.77829577829577834</v>
      </c>
      <c r="D20" s="16">
        <f t="shared" si="18"/>
        <v>2475</v>
      </c>
      <c r="E20" s="76">
        <f t="shared" si="19"/>
        <v>9.319787985865724E-2</v>
      </c>
      <c r="F20" s="11">
        <f t="shared" ref="F20" si="29">D20/78.842</f>
        <v>31.391897719489613</v>
      </c>
      <c r="G20" s="10">
        <v>1</v>
      </c>
      <c r="H20" s="7">
        <f t="shared" ref="H20" si="30">(G20*D20)/78842</f>
        <v>3.1391897719489609E-2</v>
      </c>
      <c r="I20" s="5">
        <v>1408</v>
      </c>
      <c r="J20" s="76">
        <f t="shared" ref="J20" si="31">(I20/I19)-1</f>
        <v>3.1501831501831612E-2</v>
      </c>
      <c r="K20" s="27">
        <f t="shared" si="25"/>
        <v>34.333089490368202</v>
      </c>
      <c r="L20" s="21">
        <v>567</v>
      </c>
      <c r="M20" s="76">
        <f t="shared" ref="M20" si="32">(L20/L19)-1</f>
        <v>0.16427104722792607</v>
      </c>
      <c r="N20" s="27">
        <f t="shared" si="1"/>
        <v>30.014292520247739</v>
      </c>
      <c r="O20" s="5">
        <v>397</v>
      </c>
      <c r="P20" s="76">
        <f t="shared" ref="P20" si="33">(O20/O19)-1</f>
        <v>0.28064516129032269</v>
      </c>
      <c r="Q20" s="11">
        <f t="shared" si="12"/>
        <v>20.959822607042923</v>
      </c>
      <c r="R20" s="148">
        <v>103</v>
      </c>
      <c r="S20" s="118">
        <f t="shared" si="23"/>
        <v>9.8039215686274161E-3</v>
      </c>
      <c r="T20" s="11">
        <f t="shared" si="20"/>
        <v>21.34272689598011</v>
      </c>
      <c r="U20" s="193"/>
      <c r="V20" s="11"/>
      <c r="W20" s="22"/>
      <c r="X20">
        <f t="shared" si="2"/>
        <v>2018</v>
      </c>
      <c r="Y20" s="204">
        <f t="shared" si="3"/>
        <v>353.66301063421315</v>
      </c>
      <c r="Z20" s="204">
        <f t="shared" si="4"/>
        <v>128.49254603428992</v>
      </c>
      <c r="AA20" s="204">
        <f t="shared" si="5"/>
        <v>79.434319961269438</v>
      </c>
      <c r="AB20" s="204">
        <f t="shared" si="6"/>
        <v>402.3710054923958</v>
      </c>
      <c r="AC20" s="204">
        <f t="shared" si="13"/>
        <v>15.13299192228499</v>
      </c>
      <c r="AD20" s="204">
        <f t="shared" si="14"/>
        <v>373.33426429438782</v>
      </c>
      <c r="AE20" s="204">
        <f t="shared" si="15"/>
        <v>8.5390317301092864</v>
      </c>
      <c r="AF20" s="207" t="s">
        <v>10</v>
      </c>
    </row>
    <row r="21" spans="1:32" x14ac:dyDescent="0.25">
      <c r="A21" s="30">
        <v>2019</v>
      </c>
      <c r="B21" s="16">
        <f>Sammanställning!B22</f>
        <v>2802</v>
      </c>
      <c r="C21" s="19">
        <f t="shared" si="21"/>
        <v>0.72571872571872575</v>
      </c>
      <c r="D21" s="16">
        <f>I21+L21+O21+R21+U21</f>
        <v>2151.5</v>
      </c>
      <c r="E21" s="76">
        <f>(D21/D20)-1</f>
        <v>-0.13070707070707066</v>
      </c>
      <c r="F21" s="11">
        <f>D21/78.842</f>
        <v>27.288754724639151</v>
      </c>
      <c r="G21" s="10">
        <v>1</v>
      </c>
      <c r="H21" s="7">
        <f>(G21*D21)/78842</f>
        <v>2.7288754724639153E-2</v>
      </c>
      <c r="I21" s="5">
        <v>1228</v>
      </c>
      <c r="J21" s="76">
        <f t="shared" ref="J21:J22" si="34">(I21/I20)-1</f>
        <v>-0.12784090909090906</v>
      </c>
      <c r="K21" s="27">
        <f t="shared" si="25"/>
        <v>29.943916118019995</v>
      </c>
      <c r="L21" s="21">
        <v>473</v>
      </c>
      <c r="M21" s="76">
        <f t="shared" ref="M21:M22" si="35">(L21/L20)-1</f>
        <v>-0.16578483245149911</v>
      </c>
      <c r="N21" s="27">
        <f t="shared" si="1"/>
        <v>25.038378063628183</v>
      </c>
      <c r="O21" s="21">
        <v>341</v>
      </c>
      <c r="P21" s="76">
        <f t="shared" ref="P21:P22" si="36">(O21/O20)-1</f>
        <v>-0.1410579345088161</v>
      </c>
      <c r="Q21" s="11">
        <f t="shared" si="12"/>
        <v>18.00327332242226</v>
      </c>
      <c r="R21" s="193">
        <v>84</v>
      </c>
      <c r="S21" s="118">
        <f t="shared" si="23"/>
        <v>-0.18446601941747576</v>
      </c>
      <c r="T21" s="11">
        <f t="shared" si="20"/>
        <v>17.405719021964362</v>
      </c>
      <c r="U21" s="193">
        <v>25.5</v>
      </c>
      <c r="V21" s="118" t="s">
        <v>10</v>
      </c>
      <c r="W21" s="22">
        <f>(U21/4.826)</f>
        <v>5.2838789888106099</v>
      </c>
      <c r="X21">
        <f t="shared" si="2"/>
        <v>2019</v>
      </c>
      <c r="Y21" s="204">
        <f t="shared" si="3"/>
        <v>308.45040984290745</v>
      </c>
      <c r="Z21" s="204">
        <f t="shared" si="4"/>
        <v>112.0659421378608</v>
      </c>
      <c r="AA21" s="204">
        <f t="shared" si="5"/>
        <v>69.279364284402604</v>
      </c>
      <c r="AB21" s="204">
        <f t="shared" si="6"/>
        <v>350.93153035842477</v>
      </c>
      <c r="AC21" s="204">
        <f t="shared" si="13"/>
        <v>12.99836333878887</v>
      </c>
      <c r="AD21" s="204">
        <f t="shared" si="14"/>
        <v>320.67250409165302</v>
      </c>
      <c r="AE21" s="204">
        <f t="shared" si="15"/>
        <v>7.334533551554828</v>
      </c>
      <c r="AF21" s="205">
        <f>W21</f>
        <v>5.2838789888106099</v>
      </c>
    </row>
    <row r="22" spans="1:32" x14ac:dyDescent="0.25">
      <c r="A22" s="30">
        <v>2020</v>
      </c>
      <c r="B22" s="16">
        <f>Sammanställning!B23</f>
        <v>2650</v>
      </c>
      <c r="C22" s="19">
        <f t="shared" si="21"/>
        <v>0.6863506863506863</v>
      </c>
      <c r="D22" s="16">
        <f>I22+L22+O22+R22+U22</f>
        <v>2065.5</v>
      </c>
      <c r="E22" s="76">
        <f>(D22/D21)-1</f>
        <v>-3.9972112479665367E-2</v>
      </c>
      <c r="F22" s="11">
        <f>D22/78.842</f>
        <v>26.197965551355878</v>
      </c>
      <c r="G22" s="10">
        <v>2</v>
      </c>
      <c r="H22" s="7">
        <f>(G22*D22)/78842</f>
        <v>5.2395931102711756E-2</v>
      </c>
      <c r="I22" s="5">
        <v>1224</v>
      </c>
      <c r="J22" s="76">
        <f t="shared" si="34"/>
        <v>-3.2573289902280145E-3</v>
      </c>
      <c r="K22" s="27">
        <f t="shared" si="25"/>
        <v>29.846378931967813</v>
      </c>
      <c r="L22" s="21">
        <v>408</v>
      </c>
      <c r="M22" s="76">
        <f t="shared" si="35"/>
        <v>-0.13742071881606766</v>
      </c>
      <c r="N22" s="27">
        <f t="shared" si="1"/>
        <v>21.597586152135939</v>
      </c>
      <c r="O22" s="21">
        <v>280</v>
      </c>
      <c r="P22" s="76">
        <f t="shared" si="36"/>
        <v>-0.17888563049853368</v>
      </c>
      <c r="Q22" s="11">
        <f t="shared" si="12"/>
        <v>14.782746423103323</v>
      </c>
      <c r="R22" s="193">
        <v>107</v>
      </c>
      <c r="S22" s="118">
        <f t="shared" si="23"/>
        <v>0.27380952380952372</v>
      </c>
      <c r="T22" s="11">
        <f t="shared" si="20"/>
        <v>22.171570658930793</v>
      </c>
      <c r="U22" s="193">
        <v>46.5</v>
      </c>
      <c r="V22" s="118">
        <f>(U22/U21)-1</f>
        <v>0.82352941176470584</v>
      </c>
      <c r="W22" s="22">
        <f>(U22/4.826)</f>
        <v>9.6353087443016996</v>
      </c>
      <c r="X22">
        <f t="shared" si="2"/>
        <v>2020</v>
      </c>
      <c r="Y22" s="204">
        <f t="shared" si="3"/>
        <v>307.44568538087844</v>
      </c>
      <c r="Z22" s="204">
        <f t="shared" si="4"/>
        <v>111.70090649571793</v>
      </c>
      <c r="AA22" s="204">
        <f t="shared" si="5"/>
        <v>69.053698602694453</v>
      </c>
      <c r="AB22" s="204">
        <f t="shared" si="6"/>
        <v>349.78843091100316</v>
      </c>
      <c r="AC22" s="204">
        <f t="shared" si="13"/>
        <v>10.673142917480599</v>
      </c>
      <c r="AD22" s="204">
        <f t="shared" si="14"/>
        <v>263.30880101367404</v>
      </c>
      <c r="AE22" s="204">
        <f t="shared" si="15"/>
        <v>6.0224908927722929</v>
      </c>
      <c r="AF22" s="205">
        <f>W22</f>
        <v>9.6353087443016996</v>
      </c>
    </row>
    <row r="23" spans="1:32" x14ac:dyDescent="0.25">
      <c r="A23" s="30">
        <v>2021</v>
      </c>
      <c r="B23" s="16">
        <f>Sammanställning!B24</f>
        <v>2780</v>
      </c>
      <c r="C23" s="19">
        <f t="shared" si="21"/>
        <v>0.72002072002072004</v>
      </c>
      <c r="D23" s="16">
        <f>I23+L23+O23+R23+U23</f>
        <v>2072.6</v>
      </c>
      <c r="E23" s="76">
        <f>(D23/D22)-1</f>
        <v>3.4374243524570858E-3</v>
      </c>
      <c r="F23" s="11">
        <f>D23/78.842</f>
        <v>26.288019076126936</v>
      </c>
      <c r="G23" s="10">
        <v>3</v>
      </c>
      <c r="H23" s="7">
        <f>(G23*D23)/78842</f>
        <v>7.8864057228380802E-2</v>
      </c>
      <c r="I23" s="5">
        <v>1181</v>
      </c>
      <c r="J23" s="76">
        <f t="shared" ref="J23:J24" si="37">(I23/I22)-1</f>
        <v>-3.5130718954248352E-2</v>
      </c>
      <c r="K23" s="27">
        <f t="shared" si="25"/>
        <v>28.797854181906853</v>
      </c>
      <c r="L23" s="21">
        <v>448</v>
      </c>
      <c r="M23" s="76">
        <f t="shared" ref="M23:M24" si="38">(L23/L22)-1</f>
        <v>9.8039215686274606E-2</v>
      </c>
      <c r="N23" s="27">
        <f t="shared" si="1"/>
        <v>23.714996559208092</v>
      </c>
      <c r="O23" s="21">
        <v>316</v>
      </c>
      <c r="P23" s="76">
        <f t="shared" ref="P23:P24" si="39">(O23/O22)-1</f>
        <v>0.12857142857142856</v>
      </c>
      <c r="Q23" s="11">
        <f t="shared" si="12"/>
        <v>16.683385248930893</v>
      </c>
      <c r="R23" s="193">
        <v>87.7</v>
      </c>
      <c r="S23" s="118">
        <f t="shared" ref="S23:S24" si="40">(R23/R22)-1</f>
        <v>-0.18037383177570088</v>
      </c>
      <c r="T23" s="11">
        <f t="shared" ref="T23:T24" si="41">(R23/4.826)</f>
        <v>18.172399502693743</v>
      </c>
      <c r="U23" s="193">
        <v>39.9</v>
      </c>
      <c r="V23" s="118">
        <f>(U23/U22)-1</f>
        <v>-0.14193548387096777</v>
      </c>
      <c r="W23" s="22">
        <f>(U23/4.826)</f>
        <v>8.2677165354330704</v>
      </c>
      <c r="X23">
        <f t="shared" si="2"/>
        <v>2021</v>
      </c>
      <c r="Y23" s="204">
        <f t="shared" si="3"/>
        <v>296.64489741406652</v>
      </c>
      <c r="Z23" s="204">
        <f t="shared" si="4"/>
        <v>107.77677334268209</v>
      </c>
      <c r="AA23" s="204">
        <f t="shared" si="5"/>
        <v>66.627792524331824</v>
      </c>
      <c r="AB23" s="204">
        <f t="shared" si="6"/>
        <v>337.50011185122122</v>
      </c>
      <c r="AC23" s="204">
        <f t="shared" si="13"/>
        <v>12.045404149728103</v>
      </c>
      <c r="AD23" s="204">
        <f t="shared" si="14"/>
        <v>297.16278971543215</v>
      </c>
      <c r="AE23" s="204">
        <f t="shared" si="15"/>
        <v>6.7968111504144444</v>
      </c>
      <c r="AF23" s="205">
        <f>W23</f>
        <v>8.2677165354330704</v>
      </c>
    </row>
    <row r="24" spans="1:32" x14ac:dyDescent="0.25">
      <c r="A24" s="30">
        <v>2022</v>
      </c>
      <c r="B24" s="16">
        <f>Sammanställning!B25</f>
        <v>2912</v>
      </c>
      <c r="C24" s="19">
        <f t="shared" si="21"/>
        <v>0.75420875420875422</v>
      </c>
      <c r="D24" s="16">
        <f>I24+L24+O24+R24+U24</f>
        <v>1990.14</v>
      </c>
      <c r="E24" s="76">
        <f>(D24/D23)-1</f>
        <v>-3.9785776319598454E-2</v>
      </c>
      <c r="F24" s="11">
        <f>D24/78.842</f>
        <v>25.242129829278813</v>
      </c>
      <c r="G24" s="10"/>
      <c r="H24" s="7">
        <f>(G24*D24)/78842</f>
        <v>0</v>
      </c>
      <c r="I24" s="5">
        <v>1090</v>
      </c>
      <c r="J24" s="76">
        <f t="shared" si="37"/>
        <v>-7.7053344623200681E-2</v>
      </c>
      <c r="K24" s="27">
        <f t="shared" si="25"/>
        <v>26.578883199219703</v>
      </c>
      <c r="L24" s="21">
        <v>428</v>
      </c>
      <c r="M24" s="76">
        <f t="shared" si="38"/>
        <v>-4.4642857142857095E-2</v>
      </c>
      <c r="N24" s="27">
        <f t="shared" si="1"/>
        <v>22.656291355672014</v>
      </c>
      <c r="O24" s="21">
        <v>314</v>
      </c>
      <c r="P24" s="76">
        <f t="shared" si="39"/>
        <v>-6.3291139240506666E-3</v>
      </c>
      <c r="Q24" s="11">
        <f t="shared" si="12"/>
        <v>16.577794203051582</v>
      </c>
      <c r="R24" s="193">
        <v>104.14</v>
      </c>
      <c r="S24" s="118">
        <f t="shared" si="40"/>
        <v>0.18745724059293045</v>
      </c>
      <c r="T24" s="11">
        <f t="shared" si="41"/>
        <v>21.578947368421055</v>
      </c>
      <c r="U24" s="193">
        <v>54</v>
      </c>
      <c r="V24" s="118">
        <f>(U24/U23)-1</f>
        <v>0.35338345864661669</v>
      </c>
      <c r="W24" s="22">
        <f>(U24/4.826)</f>
        <v>11.189390799834232</v>
      </c>
      <c r="X24">
        <f t="shared" si="2"/>
        <v>2022</v>
      </c>
      <c r="Y24" s="204">
        <f t="shared" si="3"/>
        <v>273.78741590290645</v>
      </c>
      <c r="Z24" s="204">
        <f t="shared" si="4"/>
        <v>99.472212483931813</v>
      </c>
      <c r="AA24" s="204">
        <f t="shared" si="5"/>
        <v>61.493898265471366</v>
      </c>
      <c r="AB24" s="204">
        <f t="shared" si="6"/>
        <v>311.49459942238025</v>
      </c>
      <c r="AC24" s="204">
        <f t="shared" si="13"/>
        <v>11.969167414603241</v>
      </c>
      <c r="AD24" s="204">
        <f t="shared" si="14"/>
        <v>295.28201256533447</v>
      </c>
      <c r="AE24" s="204">
        <f t="shared" si="15"/>
        <v>6.7537933583232137</v>
      </c>
      <c r="AF24" s="205">
        <f>W24</f>
        <v>11.189390799834232</v>
      </c>
    </row>
    <row r="25" spans="1:32" x14ac:dyDescent="0.25">
      <c r="A25" s="30"/>
      <c r="B25" s="16"/>
      <c r="C25" s="19"/>
      <c r="D25" s="16"/>
      <c r="E25" s="76"/>
      <c r="F25" s="11"/>
      <c r="G25" s="10"/>
      <c r="H25" s="7"/>
      <c r="I25" s="5"/>
      <c r="J25" s="76"/>
      <c r="K25" s="27"/>
      <c r="L25" s="21"/>
      <c r="M25" s="76"/>
      <c r="N25" s="27"/>
      <c r="O25" s="21"/>
      <c r="P25" s="76"/>
      <c r="Q25" s="11"/>
      <c r="R25" s="193"/>
      <c r="S25" s="118"/>
      <c r="T25" s="11"/>
      <c r="U25" s="193"/>
      <c r="V25" s="118"/>
      <c r="W25" s="22"/>
      <c r="Y25" s="158"/>
      <c r="Z25" s="158"/>
      <c r="AA25" s="158"/>
      <c r="AB25" s="158"/>
      <c r="AC25" s="158"/>
      <c r="AD25" s="158"/>
      <c r="AE25" s="158"/>
      <c r="AF25" s="11"/>
    </row>
    <row r="26" spans="1:32" ht="3" customHeight="1" x14ac:dyDescent="0.25">
      <c r="A26" s="31" t="s">
        <v>0</v>
      </c>
      <c r="B26" s="70"/>
      <c r="C26" s="18"/>
      <c r="D26" s="17"/>
      <c r="E26" s="1"/>
      <c r="F26" s="39"/>
      <c r="G26" s="39"/>
      <c r="H26" s="35"/>
      <c r="I26" s="1"/>
      <c r="J26" s="1"/>
      <c r="K26" s="35"/>
      <c r="L26" s="1"/>
      <c r="M26" s="1"/>
      <c r="N26" s="35"/>
      <c r="O26" s="1"/>
      <c r="P26" s="1"/>
      <c r="Q26" s="39"/>
      <c r="R26" s="65"/>
      <c r="S26" s="28"/>
      <c r="T26" s="150"/>
      <c r="U26" s="187"/>
      <c r="V26" s="150"/>
      <c r="W26" s="152"/>
    </row>
    <row r="27" spans="1:32" ht="15.75" thickBot="1" x14ac:dyDescent="0.3">
      <c r="A27" s="32" t="s">
        <v>17</v>
      </c>
      <c r="B27" s="26">
        <f>AVERAGE(B9:B24)</f>
        <v>2966.6875</v>
      </c>
      <c r="C27" s="34">
        <f>AVERAGE(C9:C24)</f>
        <v>0.76837283087283081</v>
      </c>
      <c r="D27" s="26">
        <f>AVERAGE(D5:D24)</f>
        <v>2583.4870000000001</v>
      </c>
      <c r="E27" s="25"/>
      <c r="F27" s="37">
        <f>AVERAGE(F5:F24)</f>
        <v>34.623013824048016</v>
      </c>
      <c r="G27" s="37"/>
      <c r="H27" s="36"/>
      <c r="I27" s="25">
        <f>AVERAGE(I5:I24)</f>
        <v>1714.6</v>
      </c>
      <c r="J27" s="25"/>
      <c r="K27" s="36">
        <f>AVERAGE(K5:K24)</f>
        <v>41.80931480126798</v>
      </c>
      <c r="L27" s="25">
        <f>AVERAGE(L5:L24)</f>
        <v>517.40499999999997</v>
      </c>
      <c r="M27" s="25"/>
      <c r="N27" s="36">
        <f>AVERAGE(N5:N24)</f>
        <v>27.388968291779157</v>
      </c>
      <c r="O27" s="25">
        <f>AVERAGE(O5:O24)</f>
        <v>320.17058823529408</v>
      </c>
      <c r="P27" s="25"/>
      <c r="Q27" s="37">
        <f>AVERAGE(Q5:Q24)</f>
        <v>16.903573635779221</v>
      </c>
      <c r="R27" s="188">
        <f>AVERAGE(R5:R24)</f>
        <v>95.084000000000003</v>
      </c>
      <c r="S27" s="189"/>
      <c r="T27" s="107">
        <f>AVERAGE(T5:T24)</f>
        <v>19.740927120951987</v>
      </c>
      <c r="U27" s="107">
        <f>AVERAGE(U5:U24)</f>
        <v>41.475000000000001</v>
      </c>
      <c r="V27" s="107"/>
      <c r="W27" s="38">
        <f>AVERAGE(W5:W24)</f>
        <v>8.594073767094903</v>
      </c>
    </row>
    <row r="28" spans="1:32" x14ac:dyDescent="0.25">
      <c r="A28" s="2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32" x14ac:dyDescent="0.25">
      <c r="A29"/>
      <c r="B29" s="258"/>
      <c r="C29" s="258"/>
      <c r="D29" s="258"/>
      <c r="E29" s="258"/>
    </row>
    <row r="30" spans="1:32" x14ac:dyDescent="0.25">
      <c r="A30" s="20"/>
      <c r="B30" s="33"/>
    </row>
    <row r="39" spans="3:23" x14ac:dyDescent="0.25">
      <c r="C39" s="4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</sheetData>
  <mergeCells count="14">
    <mergeCell ref="B29:C29"/>
    <mergeCell ref="D29:E29"/>
    <mergeCell ref="U3:W3"/>
    <mergeCell ref="D1:W2"/>
    <mergeCell ref="Y1:AF3"/>
    <mergeCell ref="O3:Q3"/>
    <mergeCell ref="R3:T3"/>
    <mergeCell ref="L3:N3"/>
    <mergeCell ref="I3:K3"/>
    <mergeCell ref="A1:A2"/>
    <mergeCell ref="B1:C1"/>
    <mergeCell ref="B2:C2"/>
    <mergeCell ref="D3:E3"/>
    <mergeCell ref="G3:H3"/>
  </mergeCells>
  <conditionalFormatting sqref="E6:E25">
    <cfRule type="cellIs" dxfId="27" priority="31" operator="lessThan">
      <formula>0</formula>
    </cfRule>
    <cfRule type="cellIs" dxfId="26" priority="32" operator="greaterThan">
      <formula>0</formula>
    </cfRule>
  </conditionalFormatting>
  <conditionalFormatting sqref="J6:J25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M6:M25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P9:P25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P6">
    <cfRule type="cellIs" dxfId="19" priority="25" operator="lessThan">
      <formula>0</formula>
    </cfRule>
    <cfRule type="cellIs" dxfId="18" priority="26" operator="greaterThan">
      <formula>0</formula>
    </cfRule>
  </conditionalFormatting>
  <conditionalFormatting sqref="S9:S25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S6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V21:V25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25" right="0.25" top="0.75" bottom="0.75" header="0.3" footer="0.3"/>
  <pageSetup paperSize="8" scale="70" orientation="landscape" r:id="rId1"/>
  <ignoredErrors>
    <ignoredError sqref="E14:E15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1"/>
  <sheetViews>
    <sheetView zoomScaleNormal="100" workbookViewId="0">
      <selection activeCell="B30" sqref="B30"/>
    </sheetView>
  </sheetViews>
  <sheetFormatPr defaultRowHeight="15" x14ac:dyDescent="0.25"/>
  <cols>
    <col min="1" max="1" width="6.85546875" style="14" customWidth="1"/>
    <col min="2" max="2" width="10.7109375" customWidth="1"/>
    <col min="3" max="3" width="5.28515625" bestFit="1" customWidth="1"/>
    <col min="4" max="4" width="12" bestFit="1" customWidth="1"/>
    <col min="5" max="5" width="14.7109375" bestFit="1" customWidth="1"/>
    <col min="6" max="6" width="5.28515625" bestFit="1" customWidth="1"/>
    <col min="7" max="7" width="12" bestFit="1" customWidth="1"/>
    <col min="8" max="8" width="11.140625" customWidth="1"/>
    <col min="9" max="9" width="5.28515625" bestFit="1" customWidth="1"/>
    <col min="10" max="10" width="12" bestFit="1" customWidth="1"/>
    <col min="11" max="11" width="10.7109375" customWidth="1"/>
    <col min="12" max="12" width="5.28515625" bestFit="1" customWidth="1"/>
    <col min="13" max="13" width="12" bestFit="1" customWidth="1"/>
    <col min="14" max="14" width="10.5703125" customWidth="1"/>
    <col min="15" max="15" width="5.28515625" bestFit="1" customWidth="1"/>
    <col min="16" max="16" width="10.85546875" bestFit="1" customWidth="1"/>
    <col min="17" max="17" width="12" customWidth="1"/>
    <col min="18" max="18" width="5.28515625" bestFit="1" customWidth="1"/>
    <col min="19" max="19" width="12" customWidth="1"/>
    <col min="20" max="20" width="10.5703125" customWidth="1"/>
    <col min="21" max="21" width="10.7109375" hidden="1" customWidth="1"/>
    <col min="22" max="30" width="10.7109375" customWidth="1"/>
  </cols>
  <sheetData>
    <row r="1" spans="1:30" ht="43.5" customHeight="1" x14ac:dyDescent="0.25">
      <c r="A1" s="247"/>
      <c r="B1" s="272" t="s">
        <v>21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4"/>
      <c r="Q1" s="160"/>
      <c r="R1" s="160"/>
      <c r="S1" s="160"/>
      <c r="U1" s="272" t="s">
        <v>48</v>
      </c>
      <c r="V1" s="287" t="s">
        <v>95</v>
      </c>
      <c r="W1" s="287"/>
      <c r="X1" s="287"/>
      <c r="Y1" s="287"/>
      <c r="Z1" s="287"/>
      <c r="AA1" s="287"/>
      <c r="AB1" s="287"/>
      <c r="AC1" s="287"/>
      <c r="AD1" s="199"/>
    </row>
    <row r="2" spans="1:30" ht="15" customHeight="1" thickBot="1" x14ac:dyDescent="0.3">
      <c r="A2" s="248"/>
      <c r="B2" s="275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  <c r="Q2" s="160"/>
      <c r="R2" s="160"/>
      <c r="S2" s="160"/>
      <c r="U2" s="275"/>
      <c r="V2" s="287"/>
      <c r="W2" s="287"/>
      <c r="X2" s="287"/>
      <c r="Y2" s="287"/>
      <c r="Z2" s="287"/>
      <c r="AA2" s="287"/>
      <c r="AB2" s="287"/>
      <c r="AC2" s="287"/>
      <c r="AD2" s="199"/>
    </row>
    <row r="3" spans="1:30" s="46" customFormat="1" ht="13.5" customHeight="1" x14ac:dyDescent="0.2">
      <c r="A3" s="45"/>
      <c r="B3" s="280" t="s">
        <v>70</v>
      </c>
      <c r="C3" s="281"/>
      <c r="D3" s="281"/>
      <c r="E3" s="68" t="s">
        <v>11</v>
      </c>
      <c r="F3" s="72"/>
      <c r="G3" s="69" t="s">
        <v>12</v>
      </c>
      <c r="H3" s="93" t="s">
        <v>13</v>
      </c>
      <c r="I3" s="92"/>
      <c r="J3" s="69" t="s">
        <v>14</v>
      </c>
      <c r="K3" s="93" t="s">
        <v>8</v>
      </c>
      <c r="L3" s="92"/>
      <c r="M3" s="69" t="s">
        <v>9</v>
      </c>
      <c r="N3" s="155" t="s">
        <v>50</v>
      </c>
      <c r="O3" s="72"/>
      <c r="P3" s="154" t="s">
        <v>51</v>
      </c>
      <c r="Q3" s="155" t="s">
        <v>102</v>
      </c>
      <c r="R3" s="72"/>
      <c r="S3" s="154" t="s">
        <v>103</v>
      </c>
      <c r="U3" s="58"/>
      <c r="V3" s="287"/>
      <c r="W3" s="287"/>
      <c r="X3" s="287"/>
      <c r="Y3" s="287"/>
      <c r="Z3" s="287"/>
      <c r="AA3" s="287"/>
      <c r="AB3" s="287"/>
      <c r="AC3" s="287"/>
      <c r="AD3" s="199"/>
    </row>
    <row r="4" spans="1:30" s="46" customFormat="1" ht="38.25" x14ac:dyDescent="0.2">
      <c r="A4" s="47" t="s">
        <v>16</v>
      </c>
      <c r="B4" s="50" t="s">
        <v>5</v>
      </c>
      <c r="C4" s="48" t="s">
        <v>47</v>
      </c>
      <c r="D4" s="48" t="s">
        <v>73</v>
      </c>
      <c r="E4" s="50" t="s">
        <v>5</v>
      </c>
      <c r="F4" s="48" t="s">
        <v>47</v>
      </c>
      <c r="G4" s="49" t="s">
        <v>73</v>
      </c>
      <c r="H4" s="50" t="s">
        <v>5</v>
      </c>
      <c r="I4" s="48" t="s">
        <v>47</v>
      </c>
      <c r="J4" s="49" t="s">
        <v>73</v>
      </c>
      <c r="K4" s="50" t="s">
        <v>5</v>
      </c>
      <c r="L4" s="48" t="s">
        <v>47</v>
      </c>
      <c r="M4" s="49" t="s">
        <v>73</v>
      </c>
      <c r="N4" s="110" t="s">
        <v>55</v>
      </c>
      <c r="O4" s="60" t="s">
        <v>47</v>
      </c>
      <c r="P4" s="49" t="s">
        <v>73</v>
      </c>
      <c r="Q4" s="110" t="s">
        <v>55</v>
      </c>
      <c r="R4" s="60" t="s">
        <v>47</v>
      </c>
      <c r="S4" s="49" t="s">
        <v>73</v>
      </c>
      <c r="T4" s="159" t="s">
        <v>16</v>
      </c>
      <c r="U4" s="59" t="s">
        <v>16</v>
      </c>
      <c r="V4" s="212" t="s">
        <v>88</v>
      </c>
      <c r="W4" s="186" t="s">
        <v>89</v>
      </c>
      <c r="X4" s="212" t="s">
        <v>90</v>
      </c>
      <c r="Y4" s="186" t="s">
        <v>91</v>
      </c>
      <c r="Z4" s="212" t="s">
        <v>92</v>
      </c>
      <c r="AA4" s="186" t="s">
        <v>93</v>
      </c>
      <c r="AB4" s="212" t="s">
        <v>94</v>
      </c>
      <c r="AC4" s="206" t="s">
        <v>50</v>
      </c>
      <c r="AD4" s="198"/>
    </row>
    <row r="5" spans="1:30" x14ac:dyDescent="0.25">
      <c r="A5" s="29"/>
      <c r="B5" s="15"/>
      <c r="C5" s="14"/>
      <c r="D5" s="14"/>
      <c r="E5" s="15"/>
      <c r="F5" s="14"/>
      <c r="G5" s="43"/>
      <c r="H5" s="74"/>
      <c r="J5" s="63"/>
      <c r="K5" s="74"/>
      <c r="M5" s="63"/>
      <c r="N5" s="74"/>
      <c r="P5" s="63"/>
      <c r="Q5" s="74"/>
      <c r="S5" s="63"/>
      <c r="U5" s="53"/>
      <c r="V5" s="213"/>
      <c r="W5" s="204"/>
      <c r="X5" s="213"/>
      <c r="Y5" s="204"/>
      <c r="Z5" s="213"/>
      <c r="AA5" s="204"/>
      <c r="AB5" s="213"/>
      <c r="AC5" s="207"/>
    </row>
    <row r="6" spans="1:30" x14ac:dyDescent="0.25">
      <c r="A6" s="30"/>
      <c r="B6" s="15"/>
      <c r="C6" s="14"/>
      <c r="D6" s="14"/>
      <c r="E6" s="15"/>
      <c r="F6" s="14"/>
      <c r="G6" s="43"/>
      <c r="H6" s="74"/>
      <c r="J6" s="63"/>
      <c r="K6" s="74"/>
      <c r="M6" s="63"/>
      <c r="N6" s="74"/>
      <c r="P6" s="63"/>
      <c r="Q6" s="74"/>
      <c r="S6" s="63"/>
      <c r="U6" s="53"/>
      <c r="V6" s="213"/>
      <c r="W6" s="204"/>
      <c r="X6" s="213"/>
      <c r="Y6" s="204"/>
      <c r="Z6" s="213"/>
      <c r="AA6" s="204"/>
      <c r="AB6" s="213"/>
      <c r="AC6" s="207"/>
    </row>
    <row r="7" spans="1:30" x14ac:dyDescent="0.25">
      <c r="A7" s="30">
        <v>2003</v>
      </c>
      <c r="B7" s="15" t="s">
        <v>10</v>
      </c>
      <c r="C7" s="14" t="s">
        <v>10</v>
      </c>
      <c r="D7" s="14" t="s">
        <v>10</v>
      </c>
      <c r="E7" s="15" t="s">
        <v>10</v>
      </c>
      <c r="F7" s="14" t="s">
        <v>10</v>
      </c>
      <c r="G7" s="43" t="s">
        <v>10</v>
      </c>
      <c r="H7" s="15" t="s">
        <v>10</v>
      </c>
      <c r="I7" s="14" t="s">
        <v>10</v>
      </c>
      <c r="J7" s="43" t="s">
        <v>10</v>
      </c>
      <c r="K7" s="15" t="s">
        <v>10</v>
      </c>
      <c r="L7" s="14" t="s">
        <v>10</v>
      </c>
      <c r="M7" s="43" t="s">
        <v>10</v>
      </c>
      <c r="N7" s="15" t="s">
        <v>10</v>
      </c>
      <c r="O7" s="14"/>
      <c r="P7" s="43"/>
      <c r="Q7" s="15" t="s">
        <v>10</v>
      </c>
      <c r="R7" s="14"/>
      <c r="S7" s="43"/>
      <c r="T7">
        <f>A7</f>
        <v>2003</v>
      </c>
      <c r="U7" s="53">
        <f t="shared" ref="U7:U26" si="0">A7</f>
        <v>2003</v>
      </c>
      <c r="V7" s="213" t="s">
        <v>10</v>
      </c>
      <c r="W7" s="204" t="s">
        <v>10</v>
      </c>
      <c r="X7" s="213" t="s">
        <v>10</v>
      </c>
      <c r="Y7" s="204" t="s">
        <v>10</v>
      </c>
      <c r="Z7" s="213" t="s">
        <v>10</v>
      </c>
      <c r="AA7" s="204" t="s">
        <v>10</v>
      </c>
      <c r="AB7" s="213" t="s">
        <v>10</v>
      </c>
      <c r="AC7" s="207"/>
    </row>
    <row r="8" spans="1:30" x14ac:dyDescent="0.25">
      <c r="A8" s="30">
        <v>2004</v>
      </c>
      <c r="B8" s="15" t="s">
        <v>10</v>
      </c>
      <c r="C8" s="14" t="s">
        <v>10</v>
      </c>
      <c r="D8" s="14" t="s">
        <v>10</v>
      </c>
      <c r="E8" s="15" t="s">
        <v>10</v>
      </c>
      <c r="F8" s="14" t="s">
        <v>10</v>
      </c>
      <c r="G8" s="43" t="s">
        <v>10</v>
      </c>
      <c r="H8" s="15" t="s">
        <v>10</v>
      </c>
      <c r="I8" s="14" t="s">
        <v>10</v>
      </c>
      <c r="J8" s="43" t="s">
        <v>10</v>
      </c>
      <c r="K8" s="15" t="s">
        <v>10</v>
      </c>
      <c r="L8" s="14" t="s">
        <v>10</v>
      </c>
      <c r="M8" s="43" t="s">
        <v>10</v>
      </c>
      <c r="N8" s="15" t="s">
        <v>10</v>
      </c>
      <c r="O8" s="14"/>
      <c r="P8" s="43"/>
      <c r="Q8" s="15" t="s">
        <v>10</v>
      </c>
      <c r="R8" s="14"/>
      <c r="S8" s="43"/>
      <c r="T8">
        <f t="shared" ref="T8:T22" si="1">A8</f>
        <v>2004</v>
      </c>
      <c r="U8" s="53">
        <f t="shared" si="0"/>
        <v>2004</v>
      </c>
      <c r="V8" s="213" t="s">
        <v>10</v>
      </c>
      <c r="W8" s="204" t="s">
        <v>10</v>
      </c>
      <c r="X8" s="213" t="s">
        <v>10</v>
      </c>
      <c r="Y8" s="204" t="s">
        <v>10</v>
      </c>
      <c r="Z8" s="213" t="s">
        <v>10</v>
      </c>
      <c r="AA8" s="204" t="s">
        <v>10</v>
      </c>
      <c r="AB8" s="213" t="s">
        <v>10</v>
      </c>
      <c r="AC8" s="207"/>
    </row>
    <row r="9" spans="1:30" x14ac:dyDescent="0.25">
      <c r="A9" s="30">
        <v>2005</v>
      </c>
      <c r="B9" s="15" t="s">
        <v>10</v>
      </c>
      <c r="C9" s="14" t="s">
        <v>10</v>
      </c>
      <c r="D9" s="14" t="s">
        <v>10</v>
      </c>
      <c r="E9" s="15" t="s">
        <v>10</v>
      </c>
      <c r="F9" s="14" t="s">
        <v>10</v>
      </c>
      <c r="G9" s="43" t="s">
        <v>10</v>
      </c>
      <c r="H9" s="15" t="s">
        <v>10</v>
      </c>
      <c r="I9" s="14" t="s">
        <v>10</v>
      </c>
      <c r="J9" s="43" t="s">
        <v>10</v>
      </c>
      <c r="K9" s="15" t="s">
        <v>10</v>
      </c>
      <c r="L9" s="14" t="s">
        <v>10</v>
      </c>
      <c r="M9" s="43" t="s">
        <v>10</v>
      </c>
      <c r="N9" s="15" t="s">
        <v>10</v>
      </c>
      <c r="O9" s="14"/>
      <c r="P9" s="43"/>
      <c r="Q9" s="15" t="s">
        <v>10</v>
      </c>
      <c r="R9" s="14"/>
      <c r="S9" s="43"/>
      <c r="T9">
        <f t="shared" si="1"/>
        <v>2005</v>
      </c>
      <c r="U9" s="53">
        <f t="shared" si="0"/>
        <v>2005</v>
      </c>
      <c r="V9" s="213" t="s">
        <v>10</v>
      </c>
      <c r="W9" s="204" t="s">
        <v>10</v>
      </c>
      <c r="X9" s="213" t="s">
        <v>10</v>
      </c>
      <c r="Y9" s="204" t="s">
        <v>10</v>
      </c>
      <c r="Z9" s="213" t="s">
        <v>10</v>
      </c>
      <c r="AA9" s="204" t="s">
        <v>10</v>
      </c>
      <c r="AB9" s="213" t="s">
        <v>10</v>
      </c>
      <c r="AC9" s="207"/>
    </row>
    <row r="10" spans="1:30" x14ac:dyDescent="0.25">
      <c r="A10" s="30">
        <v>2006</v>
      </c>
      <c r="B10" s="15" t="s">
        <v>10</v>
      </c>
      <c r="C10" s="14" t="s">
        <v>10</v>
      </c>
      <c r="D10" s="14" t="s">
        <v>10</v>
      </c>
      <c r="E10" s="15" t="s">
        <v>10</v>
      </c>
      <c r="F10" s="14" t="s">
        <v>10</v>
      </c>
      <c r="G10" s="43" t="s">
        <v>10</v>
      </c>
      <c r="H10" s="16" t="s">
        <v>10</v>
      </c>
      <c r="I10" s="5" t="s">
        <v>10</v>
      </c>
      <c r="J10" s="113" t="s">
        <v>10</v>
      </c>
      <c r="K10" s="16">
        <v>6662</v>
      </c>
      <c r="L10" s="5" t="s">
        <v>10</v>
      </c>
      <c r="M10" s="109">
        <f>K10/18.941</f>
        <v>351.72377382397974</v>
      </c>
      <c r="N10" s="15" t="s">
        <v>10</v>
      </c>
      <c r="O10" s="14"/>
      <c r="P10" s="43"/>
      <c r="Q10" s="15" t="s">
        <v>10</v>
      </c>
      <c r="R10" s="14"/>
      <c r="S10" s="43"/>
      <c r="T10">
        <f t="shared" si="1"/>
        <v>2006</v>
      </c>
      <c r="U10" s="53">
        <f t="shared" si="0"/>
        <v>2006</v>
      </c>
      <c r="V10" s="213" t="s">
        <v>10</v>
      </c>
      <c r="W10" s="204" t="s">
        <v>10</v>
      </c>
      <c r="X10" s="213" t="s">
        <v>10</v>
      </c>
      <c r="Y10" s="204" t="s">
        <v>10</v>
      </c>
      <c r="Z10" s="213">
        <f t="shared" ref="Z10:Z19" si="2">K10*(722/18941)</f>
        <v>253.94456470091336</v>
      </c>
      <c r="AA10" s="204">
        <f t="shared" ref="AA10:AA19" si="3">K10*(17811.9/18941)</f>
        <v>6264.8686869753446</v>
      </c>
      <c r="AB10" s="213">
        <f t="shared" ref="AB10:AB19" si="4">K10*(407.4/18941)</f>
        <v>143.29226545588932</v>
      </c>
      <c r="AC10" s="207"/>
    </row>
    <row r="11" spans="1:30" x14ac:dyDescent="0.25">
      <c r="A11" s="30">
        <v>2007</v>
      </c>
      <c r="B11" s="16">
        <f>E11+H11+K11</f>
        <v>26817</v>
      </c>
      <c r="C11" s="5" t="s">
        <v>10</v>
      </c>
      <c r="D11" s="21">
        <f>AVERAGE(G11,J11,M11,P11)</f>
        <v>388.22937043820338</v>
      </c>
      <c r="E11" s="16">
        <v>8891</v>
      </c>
      <c r="F11" s="5" t="s">
        <v>10</v>
      </c>
      <c r="G11" s="109">
        <f>E11/41.01</f>
        <v>216.80078029748842</v>
      </c>
      <c r="H11" s="16">
        <v>10554</v>
      </c>
      <c r="I11" s="5" t="s">
        <v>10</v>
      </c>
      <c r="J11" s="109">
        <f>H11/18.891</f>
        <v>558.67873590598708</v>
      </c>
      <c r="K11" s="16">
        <v>7372</v>
      </c>
      <c r="L11" s="118">
        <f>(((K11/K10)*100)-100)/100</f>
        <v>0.10657460222155507</v>
      </c>
      <c r="M11" s="109">
        <f t="shared" ref="M11:M18" si="5">K11/18.941</f>
        <v>389.20859511113457</v>
      </c>
      <c r="N11" s="15" t="s">
        <v>10</v>
      </c>
      <c r="O11" s="14"/>
      <c r="P11" s="43"/>
      <c r="Q11" s="15" t="s">
        <v>10</v>
      </c>
      <c r="R11" s="14"/>
      <c r="S11" s="43"/>
      <c r="T11">
        <f t="shared" si="1"/>
        <v>2007</v>
      </c>
      <c r="U11" s="53">
        <f t="shared" si="0"/>
        <v>2007</v>
      </c>
      <c r="V11" s="213">
        <f t="shared" ref="V11:V19" si="6">E11*(15046/59901)</f>
        <v>2233.2512979749922</v>
      </c>
      <c r="W11" s="204">
        <f t="shared" ref="W11:W19" si="7">E11*(5466.5/59901)</f>
        <v>811.38297357306215</v>
      </c>
      <c r="X11" s="213">
        <f t="shared" ref="X11:X19" si="8">E11*(3379.4/59901)</f>
        <v>501.59839401679437</v>
      </c>
      <c r="Y11" s="204">
        <f t="shared" ref="Y11:Y19" si="9">E11*(17118.2/59901)</f>
        <v>2540.8242967563147</v>
      </c>
      <c r="Z11" s="213">
        <f t="shared" si="2"/>
        <v>281.00860567023915</v>
      </c>
      <c r="AA11" s="204">
        <f t="shared" si="3"/>
        <v>6932.5445752600181</v>
      </c>
      <c r="AB11" s="213">
        <f t="shared" si="4"/>
        <v>158.56358164827623</v>
      </c>
      <c r="AC11" s="207"/>
    </row>
    <row r="12" spans="1:30" x14ac:dyDescent="0.25">
      <c r="A12" s="30">
        <v>2008</v>
      </c>
      <c r="B12" s="16">
        <f t="shared" ref="B12:B15" si="10">E12+H12+K12</f>
        <v>22742</v>
      </c>
      <c r="C12" s="118">
        <f>(((B12/B11)*100)-100)/100</f>
        <v>-0.15195584890181607</v>
      </c>
      <c r="D12" s="21">
        <f t="shared" ref="D12:D18" si="11">AVERAGE(G12,J12,M12,P12)</f>
        <v>299.79988265023309</v>
      </c>
      <c r="E12" s="16">
        <v>10629</v>
      </c>
      <c r="F12" s="118">
        <f>(((E12/E11)*100)-100)/100</f>
        <v>0.19547857383871331</v>
      </c>
      <c r="G12" s="109">
        <f t="shared" ref="G12:G18" si="12">E12/41.01</f>
        <v>259.18068763716167</v>
      </c>
      <c r="H12" s="16">
        <v>5058</v>
      </c>
      <c r="I12" s="118">
        <f>(((H12/H11)*100)-100)/100</f>
        <v>-0.52075042637862423</v>
      </c>
      <c r="J12" s="109">
        <f t="shared" ref="J12:J18" si="13">H12/18.891</f>
        <v>267.74654597427349</v>
      </c>
      <c r="K12" s="16">
        <v>7055</v>
      </c>
      <c r="L12" s="118">
        <f t="shared" ref="L12:L25" si="14">(((K12/K11)*100)-100)/100</f>
        <v>-4.3000542593597403E-2</v>
      </c>
      <c r="M12" s="109">
        <f t="shared" si="5"/>
        <v>372.47241433926405</v>
      </c>
      <c r="N12" s="15" t="s">
        <v>10</v>
      </c>
      <c r="O12" s="14"/>
      <c r="P12" s="43"/>
      <c r="Q12" s="15" t="s">
        <v>10</v>
      </c>
      <c r="R12" s="14"/>
      <c r="S12" s="43"/>
      <c r="T12">
        <f t="shared" si="1"/>
        <v>2008</v>
      </c>
      <c r="U12" s="53">
        <f t="shared" si="0"/>
        <v>2008</v>
      </c>
      <c r="V12" s="213">
        <f t="shared" si="6"/>
        <v>2669.8040767265989</v>
      </c>
      <c r="W12" s="204">
        <f t="shared" si="7"/>
        <v>969.99096008413881</v>
      </c>
      <c r="X12" s="213">
        <f t="shared" si="8"/>
        <v>599.65013271898636</v>
      </c>
      <c r="Y12" s="204">
        <f t="shared" si="9"/>
        <v>3037.5010066609907</v>
      </c>
      <c r="Z12" s="213">
        <f t="shared" si="2"/>
        <v>268.92508315294862</v>
      </c>
      <c r="AA12" s="204">
        <f t="shared" si="3"/>
        <v>6634.441396969537</v>
      </c>
      <c r="AB12" s="213">
        <f t="shared" si="4"/>
        <v>151.74526160181617</v>
      </c>
      <c r="AC12" s="207"/>
    </row>
    <row r="13" spans="1:30" x14ac:dyDescent="0.25">
      <c r="A13" s="30">
        <v>2009</v>
      </c>
      <c r="B13" s="16">
        <f t="shared" si="10"/>
        <v>21284</v>
      </c>
      <c r="C13" s="118">
        <f t="shared" ref="C13:C25" si="15">(((B13/B12)*100)-100)/100</f>
        <v>-6.4110456424237017E-2</v>
      </c>
      <c r="D13" s="21">
        <f t="shared" si="11"/>
        <v>268.23370943766986</v>
      </c>
      <c r="E13" s="16">
        <v>11251</v>
      </c>
      <c r="F13" s="118">
        <f t="shared" ref="F13:F25" si="16">(((E13/E12)*100)-100)/100</f>
        <v>5.8519145733370977E-2</v>
      </c>
      <c r="G13" s="109">
        <f t="shared" si="12"/>
        <v>274.34772006827603</v>
      </c>
      <c r="H13" s="16">
        <v>4694</v>
      </c>
      <c r="I13" s="118">
        <f t="shared" ref="I13:I25" si="17">(((H13/H12)*100)-100)/100</f>
        <v>-7.1965203637801525E-2</v>
      </c>
      <c r="J13" s="109">
        <f t="shared" si="13"/>
        <v>248.47811126991692</v>
      </c>
      <c r="K13" s="16">
        <v>5339</v>
      </c>
      <c r="L13" s="118">
        <f t="shared" si="14"/>
        <v>-0.24323175053153789</v>
      </c>
      <c r="M13" s="109">
        <f t="shared" si="5"/>
        <v>281.87529697481654</v>
      </c>
      <c r="N13" s="15" t="s">
        <v>10</v>
      </c>
      <c r="O13" s="14"/>
      <c r="P13" s="43"/>
      <c r="Q13" s="15" t="s">
        <v>10</v>
      </c>
      <c r="R13" s="14"/>
      <c r="S13" s="43"/>
      <c r="T13">
        <f t="shared" si="1"/>
        <v>2009</v>
      </c>
      <c r="U13" s="53">
        <f t="shared" si="0"/>
        <v>2009</v>
      </c>
      <c r="V13" s="213">
        <f t="shared" si="6"/>
        <v>2826.0387305721106</v>
      </c>
      <c r="W13" s="204">
        <f t="shared" si="7"/>
        <v>1026.754002437355</v>
      </c>
      <c r="X13" s="213">
        <f t="shared" si="8"/>
        <v>634.74114622460399</v>
      </c>
      <c r="Y13" s="204">
        <f t="shared" si="9"/>
        <v>3215.2529707350463</v>
      </c>
      <c r="Z13" s="213">
        <f t="shared" si="2"/>
        <v>203.51396441581755</v>
      </c>
      <c r="AA13" s="204">
        <f t="shared" si="3"/>
        <v>5020.7346021857347</v>
      </c>
      <c r="AB13" s="213">
        <f t="shared" si="4"/>
        <v>114.83599598754024</v>
      </c>
      <c r="AC13" s="207"/>
    </row>
    <row r="14" spans="1:30" x14ac:dyDescent="0.25">
      <c r="A14" s="30">
        <v>2010</v>
      </c>
      <c r="B14" s="16">
        <f t="shared" si="10"/>
        <v>22870</v>
      </c>
      <c r="C14" s="118">
        <f t="shared" si="15"/>
        <v>7.4516068408194081E-2</v>
      </c>
      <c r="D14" s="21">
        <f t="shared" si="11"/>
        <v>284.97756057443934</v>
      </c>
      <c r="E14" s="16">
        <v>12430</v>
      </c>
      <c r="F14" s="118">
        <f t="shared" si="16"/>
        <v>0.10479068527242034</v>
      </c>
      <c r="G14" s="109">
        <f t="shared" si="12"/>
        <v>303.09680565715678</v>
      </c>
      <c r="H14" s="16">
        <v>4656</v>
      </c>
      <c r="I14" s="118">
        <f t="shared" si="17"/>
        <v>-8.0954409884958518E-3</v>
      </c>
      <c r="J14" s="109">
        <f t="shared" si="13"/>
        <v>246.46657138319839</v>
      </c>
      <c r="K14" s="16">
        <v>5784</v>
      </c>
      <c r="L14" s="118">
        <f t="shared" si="14"/>
        <v>8.3348941749391378E-2</v>
      </c>
      <c r="M14" s="109">
        <f t="shared" si="5"/>
        <v>305.36930468296288</v>
      </c>
      <c r="N14" s="15" t="s">
        <v>10</v>
      </c>
      <c r="O14" s="14"/>
      <c r="P14" s="43"/>
      <c r="Q14" s="15" t="s">
        <v>10</v>
      </c>
      <c r="R14" s="14"/>
      <c r="S14" s="43"/>
      <c r="T14">
        <f t="shared" si="1"/>
        <v>2010</v>
      </c>
      <c r="U14" s="53">
        <f t="shared" si="0"/>
        <v>2010</v>
      </c>
      <c r="V14" s="213">
        <f t="shared" si="6"/>
        <v>3122.1812657551627</v>
      </c>
      <c r="W14" s="204">
        <f t="shared" si="7"/>
        <v>1134.3482579589656</v>
      </c>
      <c r="X14" s="213">
        <f t="shared" si="8"/>
        <v>701.25610590808174</v>
      </c>
      <c r="Y14" s="204">
        <f t="shared" si="9"/>
        <v>3552.1815328625567</v>
      </c>
      <c r="Z14" s="213">
        <f t="shared" si="2"/>
        <v>220.4766379810992</v>
      </c>
      <c r="AA14" s="204">
        <f t="shared" si="3"/>
        <v>5439.2075180824668</v>
      </c>
      <c r="AB14" s="213">
        <f t="shared" si="4"/>
        <v>124.40745472783907</v>
      </c>
      <c r="AC14" s="207"/>
    </row>
    <row r="15" spans="1:30" x14ac:dyDescent="0.25">
      <c r="A15" s="30">
        <v>2011</v>
      </c>
      <c r="B15" s="16">
        <f t="shared" si="10"/>
        <v>21272</v>
      </c>
      <c r="C15" s="118">
        <f t="shared" si="15"/>
        <v>-6.9873196327066012E-2</v>
      </c>
      <c r="D15" s="21">
        <f t="shared" si="11"/>
        <v>262.58446119834815</v>
      </c>
      <c r="E15" s="16">
        <v>11822</v>
      </c>
      <c r="F15" s="118">
        <f t="shared" si="16"/>
        <v>-4.8913917940466692E-2</v>
      </c>
      <c r="G15" s="109">
        <f t="shared" si="12"/>
        <v>288.27115337722506</v>
      </c>
      <c r="H15" s="16">
        <v>4040</v>
      </c>
      <c r="I15" s="118">
        <f t="shared" si="17"/>
        <v>-0.13230240549828182</v>
      </c>
      <c r="J15" s="109">
        <f t="shared" si="13"/>
        <v>213.85845111428725</v>
      </c>
      <c r="K15" s="16">
        <v>5410</v>
      </c>
      <c r="L15" s="118">
        <f t="shared" si="14"/>
        <v>-6.4661134163208803E-2</v>
      </c>
      <c r="M15" s="109">
        <f t="shared" si="5"/>
        <v>285.62377910353206</v>
      </c>
      <c r="N15" s="15" t="s">
        <v>10</v>
      </c>
      <c r="O15" s="14"/>
      <c r="P15" s="43"/>
      <c r="Q15" s="15" t="s">
        <v>10</v>
      </c>
      <c r="R15" s="14"/>
      <c r="S15" s="43"/>
      <c r="T15">
        <f t="shared" si="1"/>
        <v>2011</v>
      </c>
      <c r="U15" s="53">
        <f t="shared" si="0"/>
        <v>2011</v>
      </c>
      <c r="V15" s="213">
        <f t="shared" si="6"/>
        <v>2969.4631475267524</v>
      </c>
      <c r="W15" s="204">
        <f t="shared" si="7"/>
        <v>1078.8628403532496</v>
      </c>
      <c r="X15" s="213">
        <f t="shared" si="8"/>
        <v>666.95492228844262</v>
      </c>
      <c r="Y15" s="204">
        <f t="shared" si="9"/>
        <v>3378.4304168544768</v>
      </c>
      <c r="Z15" s="213">
        <f t="shared" si="2"/>
        <v>206.22036851275013</v>
      </c>
      <c r="AA15" s="204">
        <f t="shared" si="3"/>
        <v>5087.5021910142023</v>
      </c>
      <c r="AB15" s="213">
        <f t="shared" si="4"/>
        <v>116.36312760677893</v>
      </c>
      <c r="AC15" s="207"/>
    </row>
    <row r="16" spans="1:30" x14ac:dyDescent="0.25">
      <c r="A16" s="30">
        <v>2012</v>
      </c>
      <c r="B16" s="16">
        <f t="shared" ref="B16" si="18">E16+H16+K16</f>
        <v>22092</v>
      </c>
      <c r="C16" s="118">
        <f t="shared" si="15"/>
        <v>3.8548326438510687E-2</v>
      </c>
      <c r="D16" s="21">
        <f t="shared" si="11"/>
        <v>278.76918970795782</v>
      </c>
      <c r="E16" s="16">
        <v>11639</v>
      </c>
      <c r="F16" s="118">
        <f t="shared" si="16"/>
        <v>-1.5479614278463885E-2</v>
      </c>
      <c r="G16" s="109">
        <f t="shared" si="12"/>
        <v>283.80882711533775</v>
      </c>
      <c r="H16" s="16">
        <v>4488</v>
      </c>
      <c r="I16" s="118">
        <f t="shared" si="17"/>
        <v>0.11089108910891099</v>
      </c>
      <c r="J16" s="109">
        <f t="shared" si="13"/>
        <v>237.57344767349534</v>
      </c>
      <c r="K16" s="16">
        <v>5965</v>
      </c>
      <c r="L16" s="118">
        <f t="shared" si="14"/>
        <v>0.10258780036968589</v>
      </c>
      <c r="M16" s="109">
        <f t="shared" si="5"/>
        <v>314.92529433504041</v>
      </c>
      <c r="N16" s="15" t="s">
        <v>10</v>
      </c>
      <c r="O16" s="14"/>
      <c r="P16" s="43"/>
      <c r="Q16" s="15" t="s">
        <v>10</v>
      </c>
      <c r="R16" s="14"/>
      <c r="S16" s="43"/>
      <c r="T16">
        <f t="shared" si="1"/>
        <v>2012</v>
      </c>
      <c r="U16" s="53">
        <f t="shared" si="0"/>
        <v>2012</v>
      </c>
      <c r="V16" s="213">
        <f t="shared" si="6"/>
        <v>2923.4970033889249</v>
      </c>
      <c r="W16" s="204">
        <f t="shared" si="7"/>
        <v>1062.1624597252132</v>
      </c>
      <c r="X16" s="213">
        <f t="shared" si="8"/>
        <v>656.63071735029473</v>
      </c>
      <c r="Y16" s="204">
        <f t="shared" si="9"/>
        <v>3326.1336171349394</v>
      </c>
      <c r="Z16" s="213">
        <f t="shared" si="2"/>
        <v>227.37606250989916</v>
      </c>
      <c r="AA16" s="204">
        <f t="shared" si="3"/>
        <v>5609.4178501663064</v>
      </c>
      <c r="AB16" s="213">
        <f t="shared" si="4"/>
        <v>128.30056491209544</v>
      </c>
      <c r="AC16" s="207"/>
    </row>
    <row r="17" spans="1:30" x14ac:dyDescent="0.25">
      <c r="A17" s="30">
        <v>2013</v>
      </c>
      <c r="B17" s="16">
        <f>E17+H17+K17+N17</f>
        <v>24048</v>
      </c>
      <c r="C17" s="118">
        <f t="shared" si="15"/>
        <v>8.853883758826725E-2</v>
      </c>
      <c r="D17" s="21">
        <f t="shared" si="11"/>
        <v>242.32690540073031</v>
      </c>
      <c r="E17" s="16">
        <v>11819</v>
      </c>
      <c r="F17" s="118">
        <f t="shared" si="16"/>
        <v>1.5465246155167875E-2</v>
      </c>
      <c r="G17" s="109">
        <f t="shared" si="12"/>
        <v>288.19800048768593</v>
      </c>
      <c r="H17" s="16">
        <v>6327</v>
      </c>
      <c r="I17" s="118">
        <f t="shared" si="17"/>
        <v>0.40975935828876997</v>
      </c>
      <c r="J17" s="109">
        <f t="shared" si="13"/>
        <v>334.92139113863749</v>
      </c>
      <c r="K17" s="16">
        <f>5902-N17</f>
        <v>5678</v>
      </c>
      <c r="L17" s="118">
        <f t="shared" si="14"/>
        <v>-4.8113998323554057E-2</v>
      </c>
      <c r="M17" s="109">
        <f t="shared" si="5"/>
        <v>299.77297925135952</v>
      </c>
      <c r="N17" s="15">
        <v>224</v>
      </c>
      <c r="O17" s="14"/>
      <c r="P17" s="109">
        <f t="shared" ref="P17:P24" si="19">N17/4.826</f>
        <v>46.415250725238295</v>
      </c>
      <c r="Q17" s="15" t="s">
        <v>10</v>
      </c>
      <c r="R17" s="14"/>
      <c r="S17" s="109"/>
      <c r="T17">
        <f t="shared" si="1"/>
        <v>2013</v>
      </c>
      <c r="U17" s="53">
        <f t="shared" si="0"/>
        <v>2013</v>
      </c>
      <c r="V17" s="213">
        <f t="shared" si="6"/>
        <v>2968.7096041802306</v>
      </c>
      <c r="W17" s="204">
        <f t="shared" si="7"/>
        <v>1078.5890636216423</v>
      </c>
      <c r="X17" s="213">
        <f t="shared" si="8"/>
        <v>666.78567302716147</v>
      </c>
      <c r="Y17" s="204">
        <f t="shared" si="9"/>
        <v>3377.5730922689104</v>
      </c>
      <c r="Z17" s="213">
        <f t="shared" si="2"/>
        <v>216.43609101948155</v>
      </c>
      <c r="AA17" s="204">
        <f t="shared" si="3"/>
        <v>5339.5263291272904</v>
      </c>
      <c r="AB17" s="213">
        <f t="shared" si="4"/>
        <v>122.12751174700385</v>
      </c>
      <c r="AC17" s="207"/>
    </row>
    <row r="18" spans="1:30" x14ac:dyDescent="0.25">
      <c r="A18" s="30">
        <v>2014</v>
      </c>
      <c r="B18" s="16">
        <f t="shared" ref="B18:B22" si="20">E18+H18+K18+N18</f>
        <v>24931</v>
      </c>
      <c r="C18" s="118">
        <f t="shared" si="15"/>
        <v>3.6718230206254109E-2</v>
      </c>
      <c r="D18" s="21">
        <f t="shared" si="11"/>
        <v>323.42030381903737</v>
      </c>
      <c r="E18" s="16">
        <v>11589</v>
      </c>
      <c r="F18" s="118">
        <f t="shared" si="16"/>
        <v>-1.9460191217531106E-2</v>
      </c>
      <c r="G18" s="109">
        <f t="shared" si="12"/>
        <v>282.58961228968548</v>
      </c>
      <c r="H18" s="16">
        <v>3492</v>
      </c>
      <c r="I18" s="118">
        <f t="shared" si="17"/>
        <v>-0.44807965860597443</v>
      </c>
      <c r="J18" s="109">
        <f t="shared" si="13"/>
        <v>184.84992853739877</v>
      </c>
      <c r="K18" s="16">
        <f>9850-N18</f>
        <v>7867</v>
      </c>
      <c r="L18" s="118">
        <f t="shared" si="14"/>
        <v>0.38552307150405085</v>
      </c>
      <c r="M18" s="109">
        <f t="shared" si="5"/>
        <v>415.34237896626371</v>
      </c>
      <c r="N18" s="15">
        <v>1983</v>
      </c>
      <c r="O18" s="118" t="s">
        <v>10</v>
      </c>
      <c r="P18" s="109">
        <f t="shared" si="19"/>
        <v>410.89929548280151</v>
      </c>
      <c r="Q18" s="15" t="s">
        <v>10</v>
      </c>
      <c r="R18" s="118" t="s">
        <v>10</v>
      </c>
      <c r="S18" s="109"/>
      <c r="T18">
        <f t="shared" si="1"/>
        <v>2014</v>
      </c>
      <c r="U18" s="53">
        <f t="shared" si="0"/>
        <v>2014</v>
      </c>
      <c r="V18" s="213">
        <f t="shared" si="6"/>
        <v>2910.9379476135623</v>
      </c>
      <c r="W18" s="204">
        <f t="shared" si="7"/>
        <v>1057.5995141984274</v>
      </c>
      <c r="X18" s="213">
        <f t="shared" si="8"/>
        <v>653.80989632894284</v>
      </c>
      <c r="Y18" s="204">
        <f t="shared" si="9"/>
        <v>3311.8448740421695</v>
      </c>
      <c r="Z18" s="213">
        <f t="shared" si="2"/>
        <v>299.87719761364235</v>
      </c>
      <c r="AA18" s="204">
        <f t="shared" si="3"/>
        <v>7398.036919909192</v>
      </c>
      <c r="AB18" s="213">
        <f t="shared" si="4"/>
        <v>169.21048519085579</v>
      </c>
      <c r="AC18" s="207">
        <f>N18</f>
        <v>1983</v>
      </c>
    </row>
    <row r="19" spans="1:30" x14ac:dyDescent="0.25">
      <c r="A19" s="30">
        <v>2015</v>
      </c>
      <c r="B19" s="16">
        <f t="shared" si="20"/>
        <v>22944</v>
      </c>
      <c r="C19" s="118">
        <f t="shared" si="15"/>
        <v>-7.9699971922506163E-2</v>
      </c>
      <c r="D19" s="21">
        <f t="shared" ref="D19" si="21">AVERAGE(G19,J19,M19,P19)</f>
        <v>305.2812907311378</v>
      </c>
      <c r="E19" s="16">
        <v>10620</v>
      </c>
      <c r="F19" s="118">
        <f t="shared" si="16"/>
        <v>-8.361377168004154E-2</v>
      </c>
      <c r="G19" s="109">
        <f t="shared" ref="G19:G21" si="22">E19/41.01</f>
        <v>258.96122896854428</v>
      </c>
      <c r="H19" s="16">
        <v>4821</v>
      </c>
      <c r="I19" s="118">
        <f t="shared" si="17"/>
        <v>0.38058419243986263</v>
      </c>
      <c r="J19" s="109">
        <f t="shared" ref="J19:J21" si="23">H19/18.891</f>
        <v>255.200889312371</v>
      </c>
      <c r="K19" s="16">
        <f>7503-N19</f>
        <v>5490</v>
      </c>
      <c r="L19" s="118">
        <f t="shared" si="14"/>
        <v>-0.30214821405872627</v>
      </c>
      <c r="M19" s="109">
        <f t="shared" ref="M19:M21" si="24">K19/18.941</f>
        <v>289.84742093870443</v>
      </c>
      <c r="N19" s="15">
        <v>2013</v>
      </c>
      <c r="O19" s="118">
        <f t="shared" ref="O19:O23" si="25">(N19/N18)-1</f>
        <v>1.5128593040847127E-2</v>
      </c>
      <c r="P19" s="109">
        <f t="shared" si="19"/>
        <v>417.11562370493164</v>
      </c>
      <c r="Q19" s="15" t="s">
        <v>10</v>
      </c>
      <c r="R19" s="118" t="s">
        <v>10</v>
      </c>
      <c r="S19" s="109"/>
      <c r="T19">
        <f t="shared" si="1"/>
        <v>2015</v>
      </c>
      <c r="U19" s="53">
        <f t="shared" si="0"/>
        <v>2015</v>
      </c>
      <c r="V19" s="213">
        <f t="shared" si="6"/>
        <v>2667.5434466870338</v>
      </c>
      <c r="W19" s="204">
        <f t="shared" si="7"/>
        <v>969.16962988931732</v>
      </c>
      <c r="X19" s="213">
        <f t="shared" si="8"/>
        <v>599.14238493514301</v>
      </c>
      <c r="Y19" s="204">
        <f t="shared" si="9"/>
        <v>3034.9290329042924</v>
      </c>
      <c r="Z19" s="213">
        <f t="shared" si="2"/>
        <v>209.26983791774458</v>
      </c>
      <c r="AA19" s="204">
        <f t="shared" si="3"/>
        <v>5162.7332770181092</v>
      </c>
      <c r="AB19" s="213">
        <f t="shared" si="4"/>
        <v>118.08383929042816</v>
      </c>
      <c r="AC19" s="207">
        <f t="shared" ref="AC19:AC24" si="26">N19</f>
        <v>2013</v>
      </c>
    </row>
    <row r="20" spans="1:30" x14ac:dyDescent="0.25">
      <c r="A20" s="30">
        <v>2016</v>
      </c>
      <c r="B20" s="16">
        <f t="shared" si="20"/>
        <v>22805</v>
      </c>
      <c r="C20" s="118">
        <f t="shared" si="15"/>
        <v>-6.0582287308228898E-3</v>
      </c>
      <c r="D20" s="21">
        <f t="shared" ref="D20:D25" si="27">AVERAGE(G20,J20,M20,P20)</f>
        <v>322.04325672647832</v>
      </c>
      <c r="E20" s="16">
        <v>8118</v>
      </c>
      <c r="F20" s="118">
        <f t="shared" si="16"/>
        <v>-0.23559322033898297</v>
      </c>
      <c r="G20" s="109">
        <f t="shared" si="22"/>
        <v>197.95171909290417</v>
      </c>
      <c r="H20" s="16">
        <v>5242</v>
      </c>
      <c r="I20" s="118">
        <f t="shared" si="17"/>
        <v>8.7326280854594526E-2</v>
      </c>
      <c r="J20" s="109">
        <f t="shared" si="23"/>
        <v>277.48663384680538</v>
      </c>
      <c r="K20" s="16">
        <f>9445-N20</f>
        <v>7411</v>
      </c>
      <c r="L20" s="118">
        <f t="shared" si="14"/>
        <v>0.34990892531876111</v>
      </c>
      <c r="M20" s="109">
        <f t="shared" si="24"/>
        <v>391.26762050578111</v>
      </c>
      <c r="N20" s="15">
        <v>2034</v>
      </c>
      <c r="O20" s="118">
        <f t="shared" si="25"/>
        <v>1.0432190760059523E-2</v>
      </c>
      <c r="P20" s="109">
        <f t="shared" si="19"/>
        <v>421.46705346042273</v>
      </c>
      <c r="Q20" s="15" t="s">
        <v>10</v>
      </c>
      <c r="R20" s="118" t="s">
        <v>10</v>
      </c>
      <c r="S20" s="109"/>
      <c r="T20">
        <f t="shared" si="1"/>
        <v>2016</v>
      </c>
      <c r="U20" s="53">
        <f t="shared" si="0"/>
        <v>2016</v>
      </c>
      <c r="V20" s="213">
        <f t="shared" ref="V20:V21" si="28">E20*(15046/59901)</f>
        <v>2039.088295687885</v>
      </c>
      <c r="W20" s="204">
        <f t="shared" ref="W20:W21" si="29">E20*(5466.5/59901)</f>
        <v>740.83983572895272</v>
      </c>
      <c r="X20" s="213">
        <f t="shared" ref="X20:X21" si="30">E20*(3379.4/59901)</f>
        <v>457.98850102669405</v>
      </c>
      <c r="Y20" s="204">
        <f t="shared" ref="Y20:Y21" si="31">E20*(17118.2/59901)</f>
        <v>2319.9203285420945</v>
      </c>
      <c r="Z20" s="213">
        <f t="shared" ref="Z20:Z21" si="32">K20*(722/18941)</f>
        <v>282.49522200517396</v>
      </c>
      <c r="AA20" s="204">
        <f t="shared" ref="AA20:AA21" si="33">K20*(17811.9/18941)</f>
        <v>6969.2197296869226</v>
      </c>
      <c r="AB20" s="213">
        <f t="shared" ref="AB20:AB21" si="34">K20*(407.4/18941)</f>
        <v>159.40242859405521</v>
      </c>
      <c r="AC20" s="207">
        <f t="shared" si="26"/>
        <v>2034</v>
      </c>
    </row>
    <row r="21" spans="1:30" x14ac:dyDescent="0.25">
      <c r="A21" s="30">
        <v>2017</v>
      </c>
      <c r="B21" s="16">
        <f t="shared" si="20"/>
        <v>25997</v>
      </c>
      <c r="C21" s="118">
        <f t="shared" si="15"/>
        <v>0.13996930497697874</v>
      </c>
      <c r="D21" s="21">
        <f t="shared" si="27"/>
        <v>332.1250309073356</v>
      </c>
      <c r="E21" s="16">
        <v>13324</v>
      </c>
      <c r="F21" s="118">
        <f t="shared" si="16"/>
        <v>0.64129095836412919</v>
      </c>
      <c r="G21" s="109">
        <f t="shared" si="22"/>
        <v>324.8963667398196</v>
      </c>
      <c r="H21" s="16">
        <v>4866</v>
      </c>
      <c r="I21" s="118">
        <f t="shared" si="17"/>
        <v>-7.1728347958794389E-2</v>
      </c>
      <c r="J21" s="109">
        <f t="shared" si="23"/>
        <v>257.58297602032718</v>
      </c>
      <c r="K21" s="16">
        <f>7807-N21</f>
        <v>5645</v>
      </c>
      <c r="L21" s="118">
        <f t="shared" si="14"/>
        <v>-0.23829442720280666</v>
      </c>
      <c r="M21" s="109">
        <f t="shared" si="24"/>
        <v>298.03072699435091</v>
      </c>
      <c r="N21" s="15">
        <v>2162</v>
      </c>
      <c r="O21" s="118">
        <f t="shared" si="25"/>
        <v>6.2930186823992207E-2</v>
      </c>
      <c r="P21" s="109">
        <f t="shared" si="19"/>
        <v>447.99005387484465</v>
      </c>
      <c r="Q21" s="15" t="s">
        <v>10</v>
      </c>
      <c r="R21" s="118" t="s">
        <v>10</v>
      </c>
      <c r="S21" s="109"/>
      <c r="T21">
        <f t="shared" si="1"/>
        <v>2017</v>
      </c>
      <c r="U21" s="53">
        <f t="shared" si="0"/>
        <v>2017</v>
      </c>
      <c r="V21" s="213">
        <f t="shared" si="28"/>
        <v>3346.7371830186476</v>
      </c>
      <c r="W21" s="204">
        <f t="shared" si="29"/>
        <v>1215.9337239778968</v>
      </c>
      <c r="X21" s="213">
        <f t="shared" si="30"/>
        <v>751.69238576985367</v>
      </c>
      <c r="Y21" s="204">
        <f t="shared" si="31"/>
        <v>3807.6642593612796</v>
      </c>
      <c r="Z21" s="213">
        <f t="shared" si="32"/>
        <v>215.17818488992134</v>
      </c>
      <c r="AA21" s="204">
        <f t="shared" si="33"/>
        <v>5308.4935061506785</v>
      </c>
      <c r="AB21" s="213">
        <f t="shared" si="34"/>
        <v>121.41771817749854</v>
      </c>
      <c r="AC21" s="207">
        <f t="shared" si="26"/>
        <v>2162</v>
      </c>
    </row>
    <row r="22" spans="1:30" x14ac:dyDescent="0.25">
      <c r="A22" s="30">
        <v>2018</v>
      </c>
      <c r="B22" s="16">
        <f t="shared" si="20"/>
        <v>23393</v>
      </c>
      <c r="C22" s="118">
        <f t="shared" si="15"/>
        <v>-0.10016540370042691</v>
      </c>
      <c r="D22" s="21">
        <f t="shared" si="27"/>
        <v>317.28437263310474</v>
      </c>
      <c r="E22" s="16">
        <v>11457</v>
      </c>
      <c r="F22" s="118">
        <f t="shared" si="16"/>
        <v>-0.14012308616031219</v>
      </c>
      <c r="G22" s="109">
        <f t="shared" ref="G22:G25" si="35">E22/41.01</f>
        <v>279.37088514996344</v>
      </c>
      <c r="H22" s="16">
        <v>5280</v>
      </c>
      <c r="I22" s="118">
        <f t="shared" si="17"/>
        <v>8.5080147965474848E-2</v>
      </c>
      <c r="J22" s="109">
        <f t="shared" ref="J22:J25" si="36">H22/18.891</f>
        <v>279.49817373352391</v>
      </c>
      <c r="K22" s="16">
        <f>6656-N22</f>
        <v>4332</v>
      </c>
      <c r="L22" s="118">
        <f t="shared" si="14"/>
        <v>-0.23259521700620028</v>
      </c>
      <c r="M22" s="109">
        <f t="shared" ref="M22:M25" si="37">K22/18.941</f>
        <v>228.71020537458423</v>
      </c>
      <c r="N22" s="15">
        <v>2324</v>
      </c>
      <c r="O22" s="118">
        <f t="shared" si="25"/>
        <v>7.4930619796484743E-2</v>
      </c>
      <c r="P22" s="109">
        <f t="shared" si="19"/>
        <v>481.55822627434731</v>
      </c>
      <c r="Q22" s="15" t="s">
        <v>10</v>
      </c>
      <c r="R22" s="118" t="s">
        <v>10</v>
      </c>
      <c r="S22" s="109"/>
      <c r="T22">
        <f t="shared" si="1"/>
        <v>2018</v>
      </c>
      <c r="U22" s="53">
        <f t="shared" si="0"/>
        <v>2018</v>
      </c>
      <c r="V22" s="213">
        <f t="shared" ref="V22:V24" si="38">E22*(15046/59901)</f>
        <v>2877.7820403666051</v>
      </c>
      <c r="W22" s="204">
        <f t="shared" ref="W22:W24" si="39">E22*(5466.5/59901)</f>
        <v>1045.5533380077127</v>
      </c>
      <c r="X22" s="213">
        <f t="shared" ref="X22:X24" si="40">E22*(3379.4/59901)</f>
        <v>646.36292883257374</v>
      </c>
      <c r="Y22" s="204">
        <f t="shared" ref="Y22:Y24" si="41">E22*(17118.2/59901)</f>
        <v>3274.1225922772578</v>
      </c>
      <c r="Z22" s="213">
        <f t="shared" ref="Z22:Z24" si="42">K22*(722/18941)</f>
        <v>165.12876828044983</v>
      </c>
      <c r="AA22" s="204">
        <f t="shared" ref="AA22:AA24" si="43">K22*(17811.9/18941)</f>
        <v>4073.763307111557</v>
      </c>
      <c r="AB22" s="213">
        <f t="shared" ref="AB22:AB24" si="44">K22*(407.4/18941)</f>
        <v>93.176537669605608</v>
      </c>
      <c r="AC22" s="207">
        <f t="shared" si="26"/>
        <v>2324</v>
      </c>
    </row>
    <row r="23" spans="1:30" x14ac:dyDescent="0.25">
      <c r="A23" s="30">
        <v>2019</v>
      </c>
      <c r="B23" s="16">
        <f>E23+H23+K23+N23+Q23</f>
        <v>21645</v>
      </c>
      <c r="C23" s="118">
        <f t="shared" si="15"/>
        <v>-7.4723207797204344E-2</v>
      </c>
      <c r="D23" s="21">
        <f t="shared" si="27"/>
        <v>289.16866925263867</v>
      </c>
      <c r="E23" s="16">
        <v>11403</v>
      </c>
      <c r="F23" s="118">
        <f t="shared" si="16"/>
        <v>-4.7132757266300021E-3</v>
      </c>
      <c r="G23" s="109">
        <f t="shared" si="35"/>
        <v>278.05413313825898</v>
      </c>
      <c r="H23" s="16">
        <v>3974</v>
      </c>
      <c r="I23" s="118">
        <f t="shared" si="17"/>
        <v>-0.24734848484848485</v>
      </c>
      <c r="J23" s="109">
        <f t="shared" si="36"/>
        <v>210.36472394261818</v>
      </c>
      <c r="K23" s="16">
        <f>5714-N23</f>
        <v>3340</v>
      </c>
      <c r="L23" s="118">
        <f t="shared" si="14"/>
        <v>-0.22899353647276086</v>
      </c>
      <c r="M23" s="109">
        <f t="shared" si="37"/>
        <v>176.33704661844678</v>
      </c>
      <c r="N23" s="15">
        <v>2374</v>
      </c>
      <c r="O23" s="118">
        <f t="shared" si="25"/>
        <v>2.1514629948364838E-2</v>
      </c>
      <c r="P23" s="109">
        <f t="shared" si="19"/>
        <v>491.91877331123089</v>
      </c>
      <c r="Q23" s="15">
        <v>554</v>
      </c>
      <c r="R23" s="118" t="s">
        <v>10</v>
      </c>
      <c r="S23" s="109">
        <f t="shared" ref="S23:S25" si="45">Q23/4.826</f>
        <v>114.79486116866971</v>
      </c>
      <c r="T23">
        <v>2019</v>
      </c>
      <c r="U23" s="53">
        <f t="shared" si="0"/>
        <v>2019</v>
      </c>
      <c r="V23" s="213">
        <f t="shared" si="38"/>
        <v>2864.2182601292134</v>
      </c>
      <c r="W23" s="204">
        <f t="shared" si="39"/>
        <v>1040.625356838784</v>
      </c>
      <c r="X23" s="213">
        <f t="shared" si="40"/>
        <v>643.31644212951369</v>
      </c>
      <c r="Y23" s="204">
        <f t="shared" si="41"/>
        <v>3258.6907497370662</v>
      </c>
      <c r="Z23" s="213">
        <f t="shared" si="42"/>
        <v>127.31534765851856</v>
      </c>
      <c r="AA23" s="204">
        <f t="shared" si="43"/>
        <v>3140.8978406631118</v>
      </c>
      <c r="AB23" s="213">
        <f t="shared" si="44"/>
        <v>71.839712792355201</v>
      </c>
      <c r="AC23" s="207">
        <f t="shared" si="26"/>
        <v>2374</v>
      </c>
      <c r="AD23" s="21"/>
    </row>
    <row r="24" spans="1:30" x14ac:dyDescent="0.25">
      <c r="A24" s="30">
        <v>2020</v>
      </c>
      <c r="B24" s="16">
        <f>E24+H24+K24+N24+Q24</f>
        <v>15580</v>
      </c>
      <c r="C24" s="118">
        <f t="shared" si="15"/>
        <v>-0.28020328020328023</v>
      </c>
      <c r="D24" s="21">
        <f t="shared" si="27"/>
        <v>203.97379019069416</v>
      </c>
      <c r="E24" s="16">
        <v>8767</v>
      </c>
      <c r="F24" s="118">
        <f t="shared" si="16"/>
        <v>-0.2311672366920986</v>
      </c>
      <c r="G24" s="109">
        <f t="shared" si="35"/>
        <v>213.77712752987077</v>
      </c>
      <c r="H24" s="16">
        <v>2243</v>
      </c>
      <c r="I24" s="118">
        <f t="shared" si="17"/>
        <v>-0.4355812783090085</v>
      </c>
      <c r="J24" s="109">
        <f t="shared" si="36"/>
        <v>118.73378857657086</v>
      </c>
      <c r="K24" s="16">
        <f>3859-N24</f>
        <v>2048</v>
      </c>
      <c r="L24" s="118">
        <f t="shared" si="14"/>
        <v>-0.38682634730538923</v>
      </c>
      <c r="M24" s="109">
        <f t="shared" si="37"/>
        <v>108.12523098041287</v>
      </c>
      <c r="N24" s="15">
        <v>1811</v>
      </c>
      <c r="O24" s="118">
        <f>(N24/N23)-1</f>
        <v>-0.23715248525695032</v>
      </c>
      <c r="P24" s="109">
        <f t="shared" si="19"/>
        <v>375.25901367592212</v>
      </c>
      <c r="Q24" s="15">
        <v>711</v>
      </c>
      <c r="R24" s="118">
        <f>(Q24/Q23)-1</f>
        <v>0.28339350180505418</v>
      </c>
      <c r="S24" s="109">
        <f t="shared" si="45"/>
        <v>147.32697886448406</v>
      </c>
      <c r="T24">
        <f>A24</f>
        <v>2020</v>
      </c>
      <c r="U24" s="53">
        <f t="shared" si="0"/>
        <v>2020</v>
      </c>
      <c r="V24" s="213">
        <f t="shared" si="38"/>
        <v>2202.1048396520928</v>
      </c>
      <c r="W24" s="204">
        <f t="shared" si="39"/>
        <v>800.06686866663324</v>
      </c>
      <c r="X24" s="213">
        <f t="shared" si="40"/>
        <v>494.60275788384172</v>
      </c>
      <c r="Y24" s="204">
        <f t="shared" si="41"/>
        <v>2505.3882138862459</v>
      </c>
      <c r="Z24" s="213">
        <f t="shared" si="42"/>
        <v>78.066416767858087</v>
      </c>
      <c r="AA24" s="204">
        <f t="shared" si="43"/>
        <v>1925.9158017000159</v>
      </c>
      <c r="AB24" s="213">
        <f t="shared" si="44"/>
        <v>44.050219101420197</v>
      </c>
      <c r="AC24" s="207">
        <f t="shared" si="26"/>
        <v>1811</v>
      </c>
      <c r="AD24" s="21"/>
    </row>
    <row r="25" spans="1:30" x14ac:dyDescent="0.25">
      <c r="A25" s="30">
        <v>2021</v>
      </c>
      <c r="B25" s="16">
        <f>E25+H25+K25+N25+Q25</f>
        <v>13746</v>
      </c>
      <c r="C25" s="118">
        <f t="shared" si="15"/>
        <v>-0.11771501925545565</v>
      </c>
      <c r="D25" s="21">
        <f t="shared" si="27"/>
        <v>171.13367927971137</v>
      </c>
      <c r="E25" s="16">
        <v>8124</v>
      </c>
      <c r="F25" s="118">
        <f t="shared" si="16"/>
        <v>-7.3343218889015557E-2</v>
      </c>
      <c r="G25" s="109">
        <f t="shared" si="35"/>
        <v>198.09802487198246</v>
      </c>
      <c r="H25" s="16">
        <v>2051</v>
      </c>
      <c r="I25" s="118">
        <f t="shared" si="17"/>
        <v>-8.5599643334819439E-2</v>
      </c>
      <c r="J25" s="109">
        <f t="shared" si="36"/>
        <v>108.57021862262454</v>
      </c>
      <c r="K25" s="16">
        <f>3042-N25</f>
        <v>1635</v>
      </c>
      <c r="L25" s="118">
        <f t="shared" si="14"/>
        <v>-0.20166015625</v>
      </c>
      <c r="M25" s="109">
        <f t="shared" si="37"/>
        <v>86.320680006335465</v>
      </c>
      <c r="N25" s="15">
        <v>1407</v>
      </c>
      <c r="O25" s="118">
        <f>(N25/N24)-1</f>
        <v>-0.22308117062396471</v>
      </c>
      <c r="P25" s="109">
        <f t="shared" ref="P25" si="46">N25/4.826</f>
        <v>291.54579361790303</v>
      </c>
      <c r="Q25" s="15">
        <v>529</v>
      </c>
      <c r="R25" s="118">
        <f>(Q25/Q24)-1</f>
        <v>-0.25597749648382562</v>
      </c>
      <c r="S25" s="109">
        <f t="shared" si="45"/>
        <v>109.61458765022795</v>
      </c>
      <c r="T25">
        <f>A25</f>
        <v>2021</v>
      </c>
      <c r="U25" s="53">
        <f t="shared" si="0"/>
        <v>2021</v>
      </c>
      <c r="V25" s="213">
        <f t="shared" ref="V25:V26" si="47">E25*(15046/59901)</f>
        <v>2040.5953823809286</v>
      </c>
      <c r="W25" s="204">
        <f t="shared" ref="W25:W26" si="48">E25*(5466.5/59901)</f>
        <v>741.38738919216701</v>
      </c>
      <c r="X25" s="213">
        <f t="shared" ref="X25:X26" si="49">E25*(3379.4/59901)</f>
        <v>458.3269995492563</v>
      </c>
      <c r="Y25" s="204">
        <f t="shared" ref="Y25:Y26" si="50">E25*(17118.2/59901)</f>
        <v>2321.6349777132268</v>
      </c>
      <c r="Z25" s="213">
        <f t="shared" ref="Z25:Z26" si="51">K25*(722/18941)</f>
        <v>62.323530964574203</v>
      </c>
      <c r="AA25" s="204">
        <f t="shared" ref="AA25:AA26" si="52">K25*(17811.9/18941)</f>
        <v>1537.5353202048466</v>
      </c>
      <c r="AB25" s="213">
        <f t="shared" ref="AB25:AB26" si="53">K25*(407.4/18941)</f>
        <v>35.167045034581065</v>
      </c>
      <c r="AC25" s="207">
        <f t="shared" ref="AC25:AC26" si="54">N25</f>
        <v>1407</v>
      </c>
      <c r="AD25" s="21"/>
    </row>
    <row r="26" spans="1:30" x14ac:dyDescent="0.25">
      <c r="A26" s="30">
        <v>2022</v>
      </c>
      <c r="B26" s="16">
        <f>E26+H26+K26+N26+Q26</f>
        <v>18446</v>
      </c>
      <c r="C26" s="118">
        <f t="shared" ref="C26" si="55">(((B26/B25)*100)-100)/100</f>
        <v>0.34191764877055164</v>
      </c>
      <c r="D26" s="21">
        <f t="shared" ref="D26" si="56">AVERAGE(G26,J26,M26,P26)</f>
        <v>237.63291827705785</v>
      </c>
      <c r="E26" s="16">
        <v>9978</v>
      </c>
      <c r="F26" s="118">
        <f t="shared" ref="F26" si="57">(((E26/E25)*100)-100)/100</f>
        <v>0.22821270310192035</v>
      </c>
      <c r="G26" s="109">
        <f t="shared" ref="G26" si="58">E26/41.01</f>
        <v>243.306510607169</v>
      </c>
      <c r="H26" s="16">
        <v>2889</v>
      </c>
      <c r="I26" s="118">
        <f t="shared" ref="I26" si="59">(((H26/H25)*100)-100)/100</f>
        <v>0.40858117991223791</v>
      </c>
      <c r="J26" s="109">
        <f t="shared" ref="J26" si="60">H26/18.891</f>
        <v>152.9299666507861</v>
      </c>
      <c r="K26" s="16">
        <f>4857-N26</f>
        <v>2928</v>
      </c>
      <c r="L26" s="118">
        <f t="shared" ref="L26" si="61">(((K26/K25)*100)-100)/100</f>
        <v>0.79082568807339471</v>
      </c>
      <c r="M26" s="109">
        <f t="shared" ref="M26" si="62">K26/18.941</f>
        <v>154.58529116730901</v>
      </c>
      <c r="N26" s="15">
        <v>1929</v>
      </c>
      <c r="O26" s="118">
        <f>(N26/N25)-1</f>
        <v>0.37100213219616207</v>
      </c>
      <c r="P26" s="109">
        <f t="shared" ref="P26" si="63">N26/4.826</f>
        <v>399.70990468296731</v>
      </c>
      <c r="Q26" s="15">
        <v>722</v>
      </c>
      <c r="R26" s="118">
        <f>(Q26/Q25)-1</f>
        <v>0.36483931947069936</v>
      </c>
      <c r="S26" s="109">
        <f t="shared" ref="S26" si="64">Q26/4.826</f>
        <v>149.60629921259843</v>
      </c>
      <c r="T26">
        <f>A26</f>
        <v>2022</v>
      </c>
      <c r="U26" s="53">
        <f t="shared" si="0"/>
        <v>2022</v>
      </c>
      <c r="V26" s="213">
        <f t="shared" si="47"/>
        <v>2506.2851705313769</v>
      </c>
      <c r="W26" s="204">
        <f t="shared" si="48"/>
        <v>910.58140932538686</v>
      </c>
      <c r="X26" s="213">
        <f t="shared" si="49"/>
        <v>562.92304302098466</v>
      </c>
      <c r="Y26" s="204">
        <f t="shared" si="50"/>
        <v>2851.4615715931286</v>
      </c>
      <c r="Z26" s="213">
        <f t="shared" si="51"/>
        <v>111.61058022279711</v>
      </c>
      <c r="AA26" s="204">
        <f t="shared" si="52"/>
        <v>2753.4577477429916</v>
      </c>
      <c r="AB26" s="213">
        <f t="shared" si="53"/>
        <v>62.978047621561686</v>
      </c>
      <c r="AC26" s="207">
        <f t="shared" si="54"/>
        <v>1929</v>
      </c>
      <c r="AD26" s="21"/>
    </row>
    <row r="27" spans="1:30" x14ac:dyDescent="0.25">
      <c r="A27" s="30"/>
      <c r="B27" s="16"/>
      <c r="C27" s="118"/>
      <c r="D27" s="21"/>
      <c r="E27" s="16"/>
      <c r="F27" s="118"/>
      <c r="G27" s="109"/>
      <c r="H27" s="16"/>
      <c r="I27" s="118"/>
      <c r="J27" s="109"/>
      <c r="K27" s="16"/>
      <c r="L27" s="118"/>
      <c r="M27" s="109"/>
      <c r="N27" s="15"/>
      <c r="O27" s="118"/>
      <c r="P27" s="109"/>
      <c r="Q27" s="15"/>
      <c r="R27" s="118"/>
      <c r="S27" s="109"/>
      <c r="U27" s="53"/>
      <c r="V27" s="245"/>
      <c r="W27" s="158"/>
      <c r="X27" s="245"/>
      <c r="Y27" s="158"/>
      <c r="Z27" s="245"/>
      <c r="AA27" s="158"/>
      <c r="AB27" s="245"/>
      <c r="AC27" s="14"/>
      <c r="AD27" s="21"/>
    </row>
    <row r="28" spans="1:30" ht="3" customHeight="1" x14ac:dyDescent="0.25">
      <c r="A28" s="216" t="s">
        <v>0</v>
      </c>
      <c r="B28" s="217"/>
      <c r="C28" s="218"/>
      <c r="D28" s="219"/>
      <c r="E28" s="220"/>
      <c r="F28" s="221"/>
      <c r="G28" s="222"/>
      <c r="H28" s="220"/>
      <c r="I28" s="221"/>
      <c r="J28" s="222"/>
      <c r="K28" s="220"/>
      <c r="L28" s="223"/>
      <c r="M28" s="222"/>
      <c r="N28" s="224"/>
      <c r="O28" s="225"/>
      <c r="P28" s="226"/>
      <c r="Q28" s="224"/>
      <c r="R28" s="225"/>
      <c r="S28" s="226"/>
      <c r="U28" s="62"/>
      <c r="AB28" s="158"/>
    </row>
    <row r="29" spans="1:30" ht="15.75" thickBot="1" x14ac:dyDescent="0.3">
      <c r="A29" s="32" t="s">
        <v>17</v>
      </c>
      <c r="B29" s="197">
        <f>AVERAGE(B11:B26)</f>
        <v>21913.25</v>
      </c>
      <c r="C29" s="214"/>
      <c r="D29" s="66">
        <f>AVERAGE(D11:D26)</f>
        <v>282.93652445154862</v>
      </c>
      <c r="E29" s="197">
        <f>AVERAGE(E11:E26)</f>
        <v>10741.3125</v>
      </c>
      <c r="F29" s="214"/>
      <c r="G29" s="112">
        <f>AVERAGE(G11:G26)</f>
        <v>261.91934893928317</v>
      </c>
      <c r="H29" s="197">
        <f>AVERAGE(H11:H26)</f>
        <v>4667.1875</v>
      </c>
      <c r="I29" s="214"/>
      <c r="J29" s="112">
        <f>AVERAGE(J11:J26)</f>
        <v>247.05878460642637</v>
      </c>
      <c r="K29" s="197">
        <f>AVERAGE(K10:K26)</f>
        <v>5291.8235294117649</v>
      </c>
      <c r="L29" s="214"/>
      <c r="M29" s="112">
        <f>AVERAGE(M10:M26)</f>
        <v>279.38459053966346</v>
      </c>
      <c r="N29" s="105">
        <f>AVERAGE(N7:N26)</f>
        <v>1826.1</v>
      </c>
      <c r="O29" s="215"/>
      <c r="P29" s="156">
        <f>AVERAGE(P17:P26)</f>
        <v>378.38789888106095</v>
      </c>
      <c r="Q29" s="105">
        <f>AVERAGE(Q23:Q26)</f>
        <v>629</v>
      </c>
      <c r="R29" s="215"/>
      <c r="S29" s="156">
        <f>AVERAGE(S23:S26)</f>
        <v>130.33568172399504</v>
      </c>
      <c r="U29" s="57"/>
    </row>
    <row r="30" spans="1:30" x14ac:dyDescent="0.25">
      <c r="A30" s="20"/>
      <c r="B30" s="2"/>
      <c r="C30" s="2"/>
      <c r="D30" s="2"/>
    </row>
    <row r="31" spans="1:30" x14ac:dyDescent="0.25">
      <c r="A31"/>
    </row>
    <row r="32" spans="1:30" x14ac:dyDescent="0.25">
      <c r="A32" s="20"/>
      <c r="B32" s="4"/>
      <c r="D32" s="2"/>
    </row>
    <row r="33" spans="2:2" x14ac:dyDescent="0.25">
      <c r="B33" s="41"/>
    </row>
    <row r="34" spans="2:2" x14ac:dyDescent="0.25">
      <c r="B34" s="41"/>
    </row>
    <row r="35" spans="2:2" x14ac:dyDescent="0.25">
      <c r="B35" s="41"/>
    </row>
    <row r="36" spans="2:2" x14ac:dyDescent="0.25">
      <c r="B36" s="41"/>
    </row>
    <row r="37" spans="2:2" x14ac:dyDescent="0.25">
      <c r="B37" s="41"/>
    </row>
    <row r="38" spans="2:2" x14ac:dyDescent="0.25">
      <c r="B38" s="41"/>
    </row>
    <row r="39" spans="2:2" x14ac:dyDescent="0.25">
      <c r="B39" s="41"/>
    </row>
    <row r="40" spans="2:2" x14ac:dyDescent="0.25">
      <c r="B40" s="41"/>
    </row>
    <row r="41" spans="2:2" x14ac:dyDescent="0.25">
      <c r="B41" s="41"/>
    </row>
  </sheetData>
  <mergeCells count="5">
    <mergeCell ref="B3:D3"/>
    <mergeCell ref="U1:U2"/>
    <mergeCell ref="A1:A2"/>
    <mergeCell ref="B1:P2"/>
    <mergeCell ref="V1:AC3"/>
  </mergeCells>
  <conditionalFormatting sqref="C12:C27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F12:F27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I12:I27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L11:L27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O18:O27">
    <cfRule type="cellIs" dxfId="3" priority="3" operator="greaterThan">
      <formula>0</formula>
    </cfRule>
    <cfRule type="cellIs" dxfId="2" priority="4" operator="lessThanOrEqual">
      <formula>0</formula>
    </cfRule>
  </conditionalFormatting>
  <conditionalFormatting sqref="R24:R27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25" right="0.25" top="0.75" bottom="0.75" header="0.3" footer="0.3"/>
  <pageSetup paperSize="8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Sammanställning</vt:lpstr>
      <vt:lpstr>EL</vt:lpstr>
      <vt:lpstr>VÄRME</vt:lpstr>
      <vt:lpstr>KYLA</vt:lpstr>
      <vt:lpstr>VATTEN</vt:lpstr>
      <vt:lpstr>EL!Print_Area</vt:lpstr>
      <vt:lpstr>KYLA!Print_Area</vt:lpstr>
      <vt:lpstr>Sammanställning!Print_Area</vt:lpstr>
      <vt:lpstr>VATTEN!Print_Area</vt:lpstr>
      <vt:lpstr>VÄRME!Print_Area</vt:lpstr>
      <vt:lpstr>Sammanställning!Print_Titles</vt:lpstr>
    </vt:vector>
  </TitlesOfParts>
  <Company>Högskolan i Jönköping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Falk</dc:creator>
  <cp:lastModifiedBy>Stefan Bodin</cp:lastModifiedBy>
  <cp:lastPrinted>2023-04-25T08:13:47Z</cp:lastPrinted>
  <dcterms:created xsi:type="dcterms:W3CDTF">2011-03-09T14:34:41Z</dcterms:created>
  <dcterms:modified xsi:type="dcterms:W3CDTF">2023-04-25T08:15:55Z</dcterms:modified>
</cp:coreProperties>
</file>